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mc:AlternateContent xmlns:mc="http://schemas.openxmlformats.org/markup-compatibility/2006">
    <mc:Choice Requires="x15">
      <x15ac:absPath xmlns:x15ac="http://schemas.microsoft.com/office/spreadsheetml/2010/11/ac" url="L:\3_Mandate\Betriebswirtschaft\Projekt Betriebswirtschaft 2015-2017\Projekte\Projekte 2017\"/>
    </mc:Choice>
  </mc:AlternateContent>
  <xr:revisionPtr revIDLastSave="0" documentId="13_ncr:1_{B6AD64C7-212B-4352-BC2C-DB126EE36160}" xr6:coauthVersionLast="33" xr6:coauthVersionMax="33" xr10:uidLastSave="{00000000-0000-0000-0000-000000000000}"/>
  <bookViews>
    <workbookView showHorizontalScroll="0" showVerticalScroll="0" xWindow="0" yWindow="0" windowWidth="28800" windowHeight="12240" xr2:uid="{00000000-000D-0000-FFFF-FFFF00000000}"/>
  </bookViews>
  <sheets>
    <sheet name="Instructions" sheetId="1" r:id="rId1"/>
    <sheet name="1_Donnees_de_base_Batiments" sheetId="2" r:id="rId2"/>
    <sheet name="2_Coût_de_stockage" sheetId="3" r:id="rId3"/>
    <sheet name="3_Coût_de_préparation" sheetId="7" r:id="rId4"/>
    <sheet name="4_Coût_d'emballage" sheetId="4" r:id="rId5"/>
    <sheet name="5_Coût_de_transport" sheetId="5" r:id="rId6"/>
    <sheet name="6_Evaluation" sheetId="6" r:id="rId7"/>
  </sheets>
  <calcPr calcId="179017"/>
</workbook>
</file>

<file path=xl/calcChain.xml><?xml version="1.0" encoding="utf-8"?>
<calcChain xmlns="http://schemas.openxmlformats.org/spreadsheetml/2006/main">
  <c r="E11" i="6" l="1"/>
  <c r="F1" i="6"/>
  <c r="E36" i="5"/>
  <c r="E35" i="5"/>
  <c r="E34" i="5"/>
  <c r="L33" i="5" s="1"/>
  <c r="N33" i="5" s="1"/>
  <c r="M33" i="5" s="1"/>
  <c r="E29" i="5"/>
  <c r="L24" i="5" s="1"/>
  <c r="N24" i="5" s="1"/>
  <c r="E25" i="5"/>
  <c r="J20" i="5"/>
  <c r="H20" i="5"/>
  <c r="F20" i="5"/>
  <c r="M17" i="5" s="1"/>
  <c r="J19" i="5"/>
  <c r="H19" i="5"/>
  <c r="F19" i="5"/>
  <c r="J18" i="5"/>
  <c r="H18" i="5"/>
  <c r="F18" i="5"/>
  <c r="F1" i="5"/>
  <c r="F61" i="4"/>
  <c r="M56" i="4"/>
  <c r="M40" i="4"/>
  <c r="O40" i="4" s="1"/>
  <c r="N40" i="4" s="1"/>
  <c r="M38" i="4"/>
  <c r="O38" i="4" s="1"/>
  <c r="N38" i="4" s="1"/>
  <c r="F29" i="4"/>
  <c r="F23" i="4"/>
  <c r="M18" i="4"/>
  <c r="O18" i="4" s="1"/>
  <c r="G18" i="4"/>
  <c r="K13" i="4"/>
  <c r="I13" i="4"/>
  <c r="G13" i="4"/>
  <c r="K12" i="4"/>
  <c r="I12" i="4"/>
  <c r="G12" i="4"/>
  <c r="F5" i="4"/>
  <c r="G1" i="4"/>
  <c r="L37" i="7"/>
  <c r="M37" i="7" s="1"/>
  <c r="E35" i="7"/>
  <c r="L35" i="7" s="1"/>
  <c r="M35" i="7" s="1"/>
  <c r="E24" i="7"/>
  <c r="L23" i="7" s="1"/>
  <c r="M23" i="7"/>
  <c r="F17" i="7"/>
  <c r="L17" i="7" s="1"/>
  <c r="M17" i="7" s="1"/>
  <c r="J12" i="7"/>
  <c r="H12" i="7"/>
  <c r="F12" i="7"/>
  <c r="J11" i="7"/>
  <c r="H11" i="7"/>
  <c r="L10" i="7" s="1"/>
  <c r="F11" i="7"/>
  <c r="E4" i="7"/>
  <c r="F1" i="7"/>
  <c r="M53" i="3"/>
  <c r="L53" i="3"/>
  <c r="E51" i="3"/>
  <c r="E49" i="3"/>
  <c r="E48" i="3"/>
  <c r="L47" i="3" s="1"/>
  <c r="M47" i="3" s="1"/>
  <c r="E41" i="3"/>
  <c r="L40" i="3" s="1"/>
  <c r="M40" i="3"/>
  <c r="E37" i="3"/>
  <c r="L36" i="3"/>
  <c r="M36" i="3" s="1"/>
  <c r="E7" i="6" s="1"/>
  <c r="E28" i="3"/>
  <c r="L27" i="3"/>
  <c r="M27" i="3" s="1"/>
  <c r="F21" i="3"/>
  <c r="F20" i="3"/>
  <c r="L18" i="3" s="1"/>
  <c r="M18" i="3" s="1"/>
  <c r="E5" i="6" s="1"/>
  <c r="F19" i="3"/>
  <c r="J13" i="3"/>
  <c r="H13" i="3"/>
  <c r="F13" i="3"/>
  <c r="J12" i="3"/>
  <c r="H12" i="3"/>
  <c r="F12" i="3"/>
  <c r="J11" i="3"/>
  <c r="H11" i="3"/>
  <c r="F11" i="3"/>
  <c r="L10" i="3" s="1"/>
  <c r="M10" i="3" s="1"/>
  <c r="J33" i="2"/>
  <c r="I33" i="2"/>
  <c r="H33" i="2"/>
  <c r="F64" i="4" s="1"/>
  <c r="G33" i="2"/>
  <c r="F28" i="4" s="1"/>
  <c r="F33" i="2"/>
  <c r="E32" i="7" s="1"/>
  <c r="L31" i="7" s="1"/>
  <c r="M31" i="7" s="1"/>
  <c r="K32" i="2"/>
  <c r="K28" i="2"/>
  <c r="H28" i="2" s="1"/>
  <c r="J28" i="2"/>
  <c r="I28" i="2"/>
  <c r="G28" i="2"/>
  <c r="F28" i="2"/>
  <c r="K27" i="2"/>
  <c r="J26" i="2"/>
  <c r="I26" i="2"/>
  <c r="D26" i="2"/>
  <c r="K26" i="2" s="1"/>
  <c r="K25" i="2"/>
  <c r="J25" i="2"/>
  <c r="I25" i="2"/>
  <c r="H25" i="2"/>
  <c r="G25" i="2"/>
  <c r="F25" i="2"/>
  <c r="K23" i="2"/>
  <c r="J23" i="2"/>
  <c r="G23" i="2"/>
  <c r="F23" i="2"/>
  <c r="K22" i="2"/>
  <c r="K20" i="2"/>
  <c r="H20" i="2" s="1"/>
  <c r="J20" i="2"/>
  <c r="I20" i="2"/>
  <c r="G20" i="2"/>
  <c r="F20" i="2"/>
  <c r="K19" i="2"/>
  <c r="H19" i="2"/>
  <c r="J18" i="2"/>
  <c r="I18" i="2"/>
  <c r="F18" i="2"/>
  <c r="D18" i="2"/>
  <c r="K18" i="2" s="1"/>
  <c r="K17" i="2"/>
  <c r="J17" i="2"/>
  <c r="I17" i="2"/>
  <c r="H17" i="2"/>
  <c r="G17" i="2"/>
  <c r="F17" i="2"/>
  <c r="K15" i="2"/>
  <c r="K14" i="2"/>
  <c r="M10" i="7" l="1"/>
  <c r="N17" i="5"/>
  <c r="L17" i="5"/>
  <c r="L39" i="5" s="1"/>
  <c r="E25" i="6"/>
  <c r="M24" i="5"/>
  <c r="M39" i="5" s="1"/>
  <c r="I15" i="2"/>
  <c r="H15" i="2"/>
  <c r="J27" i="2"/>
  <c r="F27" i="2"/>
  <c r="I27" i="2"/>
  <c r="K33" i="2"/>
  <c r="E17" i="6"/>
  <c r="F15" i="2"/>
  <c r="J19" i="2"/>
  <c r="F19" i="2"/>
  <c r="I19" i="2"/>
  <c r="E4" i="6"/>
  <c r="N18" i="4"/>
  <c r="G15" i="2"/>
  <c r="H26" i="2"/>
  <c r="G26" i="2"/>
  <c r="G27" i="2"/>
  <c r="E13" i="6"/>
  <c r="J15" i="2"/>
  <c r="H18" i="2"/>
  <c r="G18" i="2"/>
  <c r="G19" i="2"/>
  <c r="I23" i="2"/>
  <c r="H23" i="2"/>
  <c r="F26" i="2"/>
  <c r="H27" i="2"/>
  <c r="M46" i="4"/>
  <c r="O46" i="4" s="1"/>
  <c r="N46" i="4" s="1"/>
  <c r="M22" i="4"/>
  <c r="O22" i="4" s="1"/>
  <c r="M50" i="4"/>
  <c r="O50" i="4" s="1"/>
  <c r="N50" i="4" s="1"/>
  <c r="M11" i="4"/>
  <c r="M55" i="4"/>
  <c r="M54" i="4" s="1"/>
  <c r="O54" i="4" s="1"/>
  <c r="N22" i="4" l="1"/>
  <c r="E21" i="7"/>
  <c r="L21" i="7" s="1"/>
  <c r="E25" i="3"/>
  <c r="L25" i="3" s="1"/>
  <c r="N54" i="4"/>
  <c r="E20" i="6"/>
  <c r="F32" i="4"/>
  <c r="M31" i="4" s="1"/>
  <c r="O31" i="4" s="1"/>
  <c r="N31" i="4" s="1"/>
  <c r="E24" i="6"/>
  <c r="G23" i="6" s="1"/>
  <c r="N39" i="5"/>
  <c r="N11" i="4"/>
  <c r="O11" i="4"/>
  <c r="E16" i="6" s="1"/>
  <c r="E10" i="6"/>
  <c r="E19" i="6"/>
  <c r="F66" i="4"/>
  <c r="M60" i="4" s="1"/>
  <c r="M25" i="3" l="1"/>
  <c r="L58" i="3"/>
  <c r="M21" i="7"/>
  <c r="L41" i="7"/>
  <c r="O60" i="4"/>
  <c r="M70" i="4"/>
  <c r="E18" i="6"/>
  <c r="E12" i="6" l="1"/>
  <c r="G9" i="6" s="1"/>
  <c r="M41" i="7"/>
  <c r="N60" i="4"/>
  <c r="N70" i="4" s="1"/>
  <c r="E21" i="6"/>
  <c r="G15" i="6" s="1"/>
  <c r="O70" i="4"/>
  <c r="E6" i="6"/>
  <c r="G3" i="6" s="1"/>
  <c r="M58" i="3"/>
  <c r="G27" i="6" l="1"/>
  <c r="I9" i="6" l="1"/>
  <c r="I23" i="6"/>
  <c r="I3" i="6"/>
  <c r="I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Office-Anwender</author>
  </authors>
  <commentList>
    <comment ref="J13" authorId="0" shapeId="0" xr:uid="{00000000-0006-0000-0100-000001000000}">
      <text>
        <r>
          <rPr>
            <sz val="9"/>
            <color indexed="81"/>
            <rFont val="Calibri"/>
          </rPr>
          <t>Autres utilisations = coûts qui ne peuvent pas être attribués aux catégories précédentes (ex. hangar à machines)</t>
        </r>
      </text>
    </comment>
    <comment ref="F14" authorId="0" shapeId="0" xr:uid="{00000000-0006-0000-0100-000002000000}">
      <text>
        <r>
          <rPr>
            <sz val="9"/>
            <color indexed="81"/>
            <rFont val="Calibri"/>
          </rPr>
          <t>Attribution des coûts des bâtiments aux différentes utilisations comme le stockage, la préparation, l’emballage, etc.</t>
        </r>
      </text>
    </comment>
    <comment ref="D15" authorId="0" shapeId="0" xr:uid="{00000000-0006-0000-0100-000003000000}">
      <text>
        <r>
          <rPr>
            <sz val="9"/>
            <color indexed="81"/>
            <rFont val="Calibri"/>
          </rPr>
          <t>Coûts liés au gros œuvre, sans les installations de stockage, d’emballage, etc.</t>
        </r>
      </text>
    </comment>
    <comment ref="F22" authorId="0" shapeId="0" xr:uid="{00000000-0006-0000-0100-000004000000}">
      <text>
        <r>
          <rPr>
            <sz val="9"/>
            <color indexed="81"/>
            <rFont val="Calibri"/>
          </rPr>
          <t>Attribution des coûts des bâtiments aux différentes utilisations comme le stockage, la préparation, l’emballage, etc.</t>
        </r>
      </text>
    </comment>
    <comment ref="D23" authorId="0" shapeId="0" xr:uid="{00000000-0006-0000-0100-000005000000}">
      <text>
        <r>
          <rPr>
            <sz val="9"/>
            <color indexed="81"/>
            <rFont val="Calibri"/>
          </rPr>
          <t>Coûts liés au gros œuvre, sans les installations de stockage, d’emballage, etc.</t>
        </r>
      </text>
    </comment>
    <comment ref="J31" authorId="0" shapeId="0" xr:uid="{00000000-0006-0000-0100-000006000000}">
      <text>
        <r>
          <rPr>
            <sz val="9"/>
            <color indexed="81"/>
            <rFont val="Calibri"/>
          </rPr>
          <t>Autres utilisations = coûts qui n’ont pas été attribués aux catégories précédentes</t>
        </r>
      </text>
    </comment>
    <comment ref="F32" authorId="0" shapeId="0" xr:uid="{00000000-0006-0000-0100-000007000000}">
      <text>
        <r>
          <rPr>
            <sz val="9"/>
            <color indexed="81"/>
            <rFont val="Calibri"/>
          </rPr>
          <t>Attribution du coût d’électricité aux différentes utilisations comme l’emballage, le stockage,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Office-Anwender</author>
  </authors>
  <commentList>
    <comment ref="E5" authorId="0" shapeId="0" xr:uid="{00000000-0006-0000-0200-000001000000}">
      <text>
        <r>
          <rPr>
            <sz val="9"/>
            <color indexed="81"/>
            <rFont val="Calibri"/>
          </rPr>
          <t>Marchandise déstockée et commercialisable du produit considéré, mais pas encore préparé</t>
        </r>
      </text>
    </comment>
    <comment ref="E6" authorId="0" shapeId="0" xr:uid="{00000000-0006-0000-0200-000002000000}">
      <text>
        <r>
          <rPr>
            <sz val="9"/>
            <color indexed="81"/>
            <rFont val="Calibri"/>
          </rPr>
          <t>Pourcentage du produit considéré de la quantité totale des produits stockés sur l’exploitation</t>
        </r>
      </text>
    </comment>
    <comment ref="E29" authorId="0" shapeId="0" xr:uid="{00000000-0006-0000-0200-000003000000}">
      <text>
        <r>
          <rPr>
            <sz val="9"/>
            <color indexed="81"/>
            <rFont val="Calibri"/>
          </rPr>
          <t>Frais d’investissement uniquement pour l’installation de stockage</t>
        </r>
      </text>
    </comment>
    <comment ref="E42" authorId="0" shapeId="0" xr:uid="{00000000-0006-0000-0200-000004000000}">
      <text>
        <r>
          <rPr>
            <sz val="9"/>
            <color indexed="81"/>
            <rFont val="Calibri"/>
          </rPr>
          <t xml:space="preserve">cf. Publication de la CCM par rapport aux coûts d‘emballage : https://www.szg.ch/fr/prestations/economie-dentreprise-legumes/
</t>
        </r>
      </text>
    </comment>
    <comment ref="E50" authorId="0" shapeId="0" xr:uid="{00000000-0006-0000-0200-000005000000}">
      <text>
        <r>
          <rPr>
            <sz val="9"/>
            <color indexed="81"/>
            <rFont val="Calibri"/>
          </rPr>
          <t>Prix moyen à la production</t>
        </r>
      </text>
    </comment>
    <comment ref="E56" authorId="0" shapeId="0" xr:uid="{00000000-0006-0000-0200-000006000000}">
      <text>
        <r>
          <rPr>
            <sz val="9"/>
            <color indexed="81"/>
            <rFont val="Calibri"/>
          </rPr>
          <t>Autres frais qui n’ont pas encore été attribué et qui sont liée au stockage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Office-Anwender</author>
  </authors>
  <commentList>
    <comment ref="E4" authorId="0" shapeId="0" xr:uid="{00000000-0006-0000-0300-000001000000}">
      <text>
        <r>
          <rPr>
            <sz val="9"/>
            <color indexed="81"/>
            <rFont val="Calibri"/>
          </rPr>
          <t>Marchandise récoltée ou déstocké du produit considéré</t>
        </r>
      </text>
    </comment>
    <comment ref="E5" authorId="0" shapeId="0" xr:uid="{00000000-0006-0000-0300-000002000000}">
      <text>
        <r>
          <rPr>
            <sz val="9"/>
            <color indexed="81"/>
            <rFont val="Calibri"/>
          </rPr>
          <t>Marchandise préparée, prête à être emballée/vendue</t>
        </r>
      </text>
    </comment>
    <comment ref="E6" authorId="0" shapeId="0" xr:uid="{00000000-0006-0000-0300-000003000000}">
      <text>
        <r>
          <rPr>
            <sz val="9"/>
            <color indexed="81"/>
            <rFont val="Calibri"/>
          </rPr>
          <t>Pourcentage du produit considéré de la quantité totale des produits préparés dans les locaux</t>
        </r>
      </text>
    </comment>
    <comment ref="E25" authorId="0" shapeId="0" xr:uid="{00000000-0006-0000-0300-000004000000}">
      <text>
        <r>
          <rPr>
            <sz val="9"/>
            <color indexed="81"/>
            <rFont val="Calibri"/>
          </rPr>
          <t>Frais d’investissement pour des éventuelles installations pour la préparation / le tri / le calibrage / etc.</t>
        </r>
      </text>
    </comment>
    <comment ref="E39" authorId="0" shapeId="0" xr:uid="{00000000-0006-0000-0300-000005000000}">
      <text>
        <r>
          <rPr>
            <sz val="9"/>
            <color indexed="81"/>
            <rFont val="Calibri"/>
          </rPr>
          <t>Autres frais qui n’ont pas encore été attribué et qui sont liée à la préparation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Office-Anwender</author>
  </authors>
  <commentList>
    <comment ref="F5" authorId="0" shapeId="0" xr:uid="{00000000-0006-0000-0400-000001000000}">
      <text>
        <r>
          <rPr>
            <sz val="9"/>
            <color indexed="81"/>
            <rFont val="Calibri"/>
          </rPr>
          <t>Quantité totalement emballé du produit considéré</t>
        </r>
      </text>
    </comment>
    <comment ref="F7" authorId="0" shapeId="0" xr:uid="{00000000-0006-0000-0400-000002000000}">
      <text>
        <r>
          <rPr>
            <sz val="9"/>
            <color indexed="81"/>
            <rFont val="Calibri"/>
          </rPr>
          <t>Quantité totalement emballée de tous les produits sur la machine considérée (charge)</t>
        </r>
      </text>
    </comment>
    <comment ref="F24" authorId="0" shapeId="0" xr:uid="{00000000-0006-0000-0400-000003000000}">
      <text>
        <r>
          <rPr>
            <sz val="9"/>
            <color indexed="81"/>
            <rFont val="Calibri"/>
          </rPr>
          <t>Frais d’investissement pour la machine d’emballage et les installations qu’y sont nécessaires (sans gros œuvre, etc.)</t>
        </r>
      </text>
    </comment>
    <comment ref="F33" authorId="0" shapeId="0" xr:uid="{00000000-0006-0000-0400-000004000000}">
      <text>
        <r>
          <rPr>
            <sz val="9"/>
            <color indexed="81"/>
            <rFont val="Calibri"/>
          </rPr>
          <t>Pourcentage du produit considéré de tous les produits emballés sur l’exploitation (y.c. ceux qui sont emballés sur d’autres machines)</t>
        </r>
      </text>
    </comment>
    <comment ref="F38" authorId="0" shapeId="0" xr:uid="{00000000-0006-0000-0400-000005000000}">
      <text>
        <r>
          <rPr>
            <sz val="9"/>
            <color indexed="81"/>
            <rFont val="Calibri"/>
          </rPr>
          <t>cf. Publication de la CCM par rapport aux coûts d‘emballage : http://www.szg.ch/fileadmin/PDF/Dienstleistungen/Betriebswirtschaft_Gemuese/Broschuere_Gebindekosten_V3_def_Juni_2017_f.pdf</t>
        </r>
      </text>
    </comment>
    <comment ref="F50" authorId="0" shapeId="0" xr:uid="{00000000-0006-0000-0400-000006000000}">
      <text>
        <r>
          <rPr>
            <sz val="9"/>
            <color indexed="81"/>
            <rFont val="Calibri"/>
          </rPr>
          <t>Autres frais qui n’ont pas encore été attribué et qui sont liée à l’emballage</t>
        </r>
      </text>
    </comment>
    <comment ref="F62" authorId="0" shapeId="0" xr:uid="{00000000-0006-0000-0400-000007000000}">
      <text>
        <r>
          <rPr>
            <sz val="9"/>
            <color indexed="81"/>
            <rFont val="Calibri"/>
          </rPr>
          <t>Frais d’investissement du refroidisseur sortie (sans gros oeuvre, etc.)</t>
        </r>
      </text>
    </comment>
    <comment ref="F67" authorId="0" shapeId="0" xr:uid="{00000000-0006-0000-0400-000008000000}">
      <text>
        <r>
          <rPr>
            <sz val="9"/>
            <color indexed="81"/>
            <rFont val="Calibri"/>
          </rPr>
          <t>Pourcentage du produit considéré de l‘utilisation globale du frigo du jour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Office-Anwender</author>
  </authors>
  <commentList>
    <comment ref="E5" authorId="0" shapeId="0" xr:uid="{00000000-0006-0000-0500-000001000000}">
      <text>
        <r>
          <rPr>
            <sz val="9"/>
            <color indexed="81"/>
            <rFont val="Calibri"/>
          </rPr>
          <t>Poids total selon le permis de circulation</t>
        </r>
      </text>
    </comment>
    <comment ref="E7" authorId="0" shapeId="0" xr:uid="{00000000-0006-0000-0500-000002000000}">
      <text>
        <r>
          <rPr>
            <sz val="9"/>
            <color indexed="81"/>
            <rFont val="Calibri"/>
          </rPr>
          <t>Quantité chargée en moyenne du produit considéré</t>
        </r>
      </text>
    </comment>
    <comment ref="E12" authorId="0" shapeId="0" xr:uid="{00000000-0006-0000-0500-000003000000}">
      <text>
        <r>
          <rPr>
            <sz val="9"/>
            <color indexed="81"/>
            <rFont val="Calibri"/>
          </rPr>
          <t>Kilométrage annuel du camion</t>
        </r>
      </text>
    </comment>
    <comment ref="E37" authorId="0" shapeId="0" xr:uid="{00000000-0006-0000-0500-000004000000}">
      <text>
        <r>
          <rPr>
            <sz val="9"/>
            <color indexed="81"/>
            <rFont val="Calibri"/>
          </rPr>
          <t>Autres frais qui n’ont pas encore été attribué et qui sont liée au transport</t>
        </r>
      </text>
    </comment>
  </commentList>
</comments>
</file>

<file path=xl/sharedStrings.xml><?xml version="1.0" encoding="utf-8"?>
<sst xmlns="http://schemas.openxmlformats.org/spreadsheetml/2006/main" count="480" uniqueCount="174">
  <si>
    <t>Energie</t>
  </si>
  <si>
    <t>Total</t>
  </si>
  <si>
    <t>Administration</t>
  </si>
  <si>
    <t>%</t>
  </si>
  <si>
    <t>Fr.</t>
  </si>
  <si>
    <t>Waren-ausgang</t>
  </si>
  <si>
    <t>t</t>
  </si>
  <si>
    <t>h</t>
  </si>
  <si>
    <t>l/100 km</t>
  </si>
  <si>
    <t>km</t>
  </si>
  <si>
    <t>kg</t>
  </si>
  <si>
    <t>INFORAMA Seeland, Herrenhalde 80, 3232 Ins</t>
  </si>
  <si>
    <t>031 636 24 12 / christian.bucher@vol.be.ch</t>
  </si>
  <si>
    <t>Euro 6</t>
  </si>
  <si>
    <t>Version: 1.3</t>
  </si>
  <si>
    <t>Frs./h</t>
  </si>
  <si>
    <t>Frs./an</t>
  </si>
  <si>
    <t>ans</t>
  </si>
  <si>
    <t>Taux d'intérêts</t>
  </si>
  <si>
    <t>Donnés de base et coûts des bâtiments</t>
  </si>
  <si>
    <t>Stockage</t>
  </si>
  <si>
    <t>Autres charges</t>
  </si>
  <si>
    <t>Emballer</t>
  </si>
  <si>
    <t>Préparer</t>
  </si>
  <si>
    <t>Bâtiment avec local de préparation/machine d'emballage (sans installation)</t>
  </si>
  <si>
    <t>Frs.</t>
  </si>
  <si>
    <t>Durée d'amortissement</t>
  </si>
  <si>
    <t>Entretien</t>
  </si>
  <si>
    <t>Intérêts</t>
  </si>
  <si>
    <t>Assurance</t>
  </si>
  <si>
    <t>Autres utilisations</t>
  </si>
  <si>
    <t>Bâtiment avec Stockage (s'il s'agit d'un autre bâtiment)</t>
  </si>
  <si>
    <t>Coûts d'électricité totaux</t>
  </si>
  <si>
    <t>Quantité et rendement</t>
  </si>
  <si>
    <t>Quantité</t>
  </si>
  <si>
    <t>Unité</t>
  </si>
  <si>
    <t>Chef d'exploitation</t>
  </si>
  <si>
    <t>Chef d'équipe</t>
  </si>
  <si>
    <t>Ouvrier</t>
  </si>
  <si>
    <t>Produit:</t>
  </si>
  <si>
    <t>Ognions en filet de 1 kg</t>
  </si>
  <si>
    <t>par kg</t>
  </si>
  <si>
    <t>Machines</t>
  </si>
  <si>
    <t>Infrastructure et installations</t>
  </si>
  <si>
    <t>Coûts</t>
  </si>
  <si>
    <t>Moyens et coûts divers</t>
  </si>
  <si>
    <t>Elévateur à fourche</t>
  </si>
  <si>
    <t>Electricité</t>
  </si>
  <si>
    <t>Autres</t>
  </si>
  <si>
    <t>Amortissement</t>
  </si>
  <si>
    <t>Frs./kg</t>
  </si>
  <si>
    <t>Usure</t>
  </si>
  <si>
    <t>Inscription/étiquettes</t>
  </si>
  <si>
    <t>Part d'emballage</t>
  </si>
  <si>
    <t>Coûts des bâtiments par an</t>
  </si>
  <si>
    <t>Prix de vente</t>
  </si>
  <si>
    <t>Frais divers</t>
  </si>
  <si>
    <t>Détergents</t>
  </si>
  <si>
    <t>Intercalaires</t>
  </si>
  <si>
    <t>Déstockage</t>
  </si>
  <si>
    <t>Quantité stocké, produit 1</t>
  </si>
  <si>
    <t>Quantité déstocké, produit 1</t>
  </si>
  <si>
    <t>Part de produit 1 de tous les produits de garde</t>
  </si>
  <si>
    <t>Autres travaux</t>
  </si>
  <si>
    <t>Coûts d'élimination déchets de préparation</t>
  </si>
  <si>
    <t>Durée d'amortissement installations</t>
  </si>
  <si>
    <t>Quantité recolté ou déstocké, produit 1</t>
  </si>
  <si>
    <t>Quantité commercialisable, produit 1</t>
  </si>
  <si>
    <t>Part de produit 1 de tous les produits préparés</t>
  </si>
  <si>
    <t>Redevance horaire chef d'exploitation (Frs./h)</t>
  </si>
  <si>
    <t>Redevance horaire ouvrier prof. formé (Frs./h)</t>
  </si>
  <si>
    <t>Redevance horaire ouvrier sans formation prof. (Frs.h)</t>
  </si>
  <si>
    <t>Coûts élévateur à fourche</t>
  </si>
  <si>
    <t>Sortie marchandise</t>
  </si>
  <si>
    <t>Evaluation</t>
  </si>
  <si>
    <t>Véhicule</t>
  </si>
  <si>
    <t>Infrastructures et installation</t>
  </si>
  <si>
    <t>Déchets et pertes</t>
  </si>
  <si>
    <t>Produit :</t>
  </si>
  <si>
    <t>kg/emballage</t>
  </si>
  <si>
    <t>kg/an</t>
  </si>
  <si>
    <t xml:space="preserve">Frs. </t>
  </si>
  <si>
    <t>Frs./1000 kg</t>
  </si>
  <si>
    <t>Données de base</t>
  </si>
  <si>
    <t>Quantité par unité d'emballage</t>
  </si>
  <si>
    <t>Total de la quantité emballé sur la machine (produit 1)</t>
  </si>
  <si>
    <t>Prix de vente moyen (produit 1)</t>
  </si>
  <si>
    <t>Charge totale de la machine (tous les produits)</t>
  </si>
  <si>
    <r>
      <t>Emballage</t>
    </r>
    <r>
      <rPr>
        <sz val="8"/>
        <color theme="1"/>
        <rFont val="Arial"/>
        <family val="2"/>
      </rPr>
      <t xml:space="preserve"> (entre préparation et chambre froide sortie)</t>
    </r>
  </si>
  <si>
    <t>&gt; chacun pour 1000 kg de produit 1</t>
  </si>
  <si>
    <t>Installations</t>
  </si>
  <si>
    <t>Coût du capital</t>
  </si>
  <si>
    <t>Part du produit 1 de tous les produits emballés</t>
  </si>
  <si>
    <t>Emballage de vente</t>
  </si>
  <si>
    <t>Consommables</t>
  </si>
  <si>
    <t>Film (pour 1000 kg)</t>
  </si>
  <si>
    <t>Etiquettes récipient (pour 1000 kg)</t>
  </si>
  <si>
    <t>Etiquettes produit (pour 1000 kg)</t>
  </si>
  <si>
    <t>Sachets, filets, etc. (pour 1000 kg)</t>
  </si>
  <si>
    <t>Eau</t>
  </si>
  <si>
    <t>Pertes de pesage produit 1</t>
  </si>
  <si>
    <t>Pertes en raison de l'emballage produit 1</t>
  </si>
  <si>
    <t>Sortie de la marchandise (chambre froide)</t>
  </si>
  <si>
    <t>ev. désignation du camion</t>
  </si>
  <si>
    <t>Frs./l</t>
  </si>
  <si>
    <t>Norme EURO camion</t>
  </si>
  <si>
    <t>Poids total camion</t>
  </si>
  <si>
    <t>Chage moyenne (pdoruit 1)</t>
  </si>
  <si>
    <t>Consommation de carburant (l/100 km)</t>
  </si>
  <si>
    <t>Prix du carburant (Frs./l)</t>
  </si>
  <si>
    <t>Distance à l'acheteur (retour)</t>
  </si>
  <si>
    <t>Nombre de livraisons par an (produit 1)</t>
  </si>
  <si>
    <t>km par an du camion (au total, tous les produits)</t>
  </si>
  <si>
    <t>Facteur de réparation (%)</t>
  </si>
  <si>
    <t>par an</t>
  </si>
  <si>
    <t>livraison</t>
  </si>
  <si>
    <t>Chargement et déchargement (par livraison)</t>
  </si>
  <si>
    <t>Trajet (aller-retour, par livraison)</t>
  </si>
  <si>
    <t>Géstion (par livraison)</t>
  </si>
  <si>
    <t>Frais fixes par an</t>
  </si>
  <si>
    <t>Prix d'acquisition</t>
  </si>
  <si>
    <t>Valeur résiduelle</t>
  </si>
  <si>
    <t>Assurances et impôts</t>
  </si>
  <si>
    <t>Frais variables totaux (par an)</t>
  </si>
  <si>
    <t>Frais de carburant</t>
  </si>
  <si>
    <t>Frais de réparation</t>
  </si>
  <si>
    <t>RPLP</t>
  </si>
  <si>
    <t>Instructions:</t>
  </si>
  <si>
    <t>L'évaluation est divisé en six onglets :</t>
  </si>
  <si>
    <r>
      <rPr>
        <u/>
        <sz val="11"/>
        <color theme="1"/>
        <rFont val="Arial"/>
        <family val="2"/>
      </rPr>
      <t xml:space="preserve">Onglet 6 </t>
    </r>
    <r>
      <rPr>
        <sz val="11"/>
        <color theme="1"/>
        <rFont val="Arial"/>
        <family val="2"/>
      </rPr>
      <t>: Evaluation : Présentation du résumé des résultats.</t>
    </r>
  </si>
  <si>
    <t>Il est seulement nécessaire de saisir des données dans les</t>
  </si>
  <si>
    <t>cellulles vertes.</t>
  </si>
  <si>
    <t>Faites attention à l'unité lors de la saisie des données.</t>
  </si>
  <si>
    <t>Mentions légales :</t>
  </si>
  <si>
    <t>Cette publication a été réalisée dans le cadre du projet "Soutien en économie d'entreprise pour la culture maraîchère 2015-17" de la CCM.</t>
  </si>
  <si>
    <t>Evaluation des coûts de stockage, préparation, emballage et transport</t>
  </si>
  <si>
    <t>Il s'agit d'un outil de travail permettant le calcul des coûts de stockage, préparation, emballage et transport. Il vous aide à évaluer les coûts par kg de produit qui s'accumulent entre la recolte et l'acheteur.</t>
  </si>
  <si>
    <r>
      <rPr>
        <u/>
        <sz val="11"/>
        <color theme="1"/>
        <rFont val="Arial"/>
        <family val="2"/>
      </rPr>
      <t>Onglet 1 :</t>
    </r>
    <r>
      <rPr>
        <sz val="11"/>
        <color theme="1"/>
        <rFont val="Arial"/>
        <family val="2"/>
      </rPr>
      <t xml:space="preserve"> Données de base et coût de bâtiment : Saisie des données générales et des frais des bâtiments.</t>
    </r>
  </si>
  <si>
    <t>Coût de stockage</t>
  </si>
  <si>
    <t>Coûts de mécanisation (par an)</t>
  </si>
  <si>
    <t>Agents (Réfrigérant, eau, CO2)</t>
  </si>
  <si>
    <t>Frais d'investissement emballages</t>
  </si>
  <si>
    <t>Frais d'investissement</t>
  </si>
  <si>
    <t>Coût du capital installations</t>
  </si>
  <si>
    <t>Coût du capital marchandises</t>
  </si>
  <si>
    <t>Coût du capital emballages</t>
  </si>
  <si>
    <t>Coût de préparation</t>
  </si>
  <si>
    <t>Coût du capital des installations</t>
  </si>
  <si>
    <t>Frais</t>
  </si>
  <si>
    <t>Coût d'emballage</t>
  </si>
  <si>
    <t>Agents</t>
  </si>
  <si>
    <t>ev. désignation de la machine</t>
  </si>
  <si>
    <t>Coût de transport</t>
  </si>
  <si>
    <t>Coût du bâtiment</t>
  </si>
  <si>
    <t>Côut de préparation</t>
  </si>
  <si>
    <t>Côut de transport</t>
  </si>
  <si>
    <t>Coûts sortie des marchandises</t>
  </si>
  <si>
    <t>Frais d'investissement gros œuvre (sans install.)</t>
  </si>
  <si>
    <t>Main d'œuvre</t>
  </si>
  <si>
    <t>Coûts de main-d'œuvre</t>
  </si>
  <si>
    <t>Main-d'œuvre</t>
  </si>
  <si>
    <t>Installations (sans gros œuvre)</t>
  </si>
  <si>
    <t>Part du bâtiment</t>
  </si>
  <si>
    <t>dans le bâtiment</t>
  </si>
  <si>
    <t>Part des coûts du locale d'emballage, tous les produits</t>
  </si>
  <si>
    <t>Part des coûts de produit 1 pour le frigo du jour</t>
  </si>
  <si>
    <r>
      <rPr>
        <u/>
        <sz val="11"/>
        <rFont val="Arial"/>
        <family val="2"/>
      </rPr>
      <t>Onglet 2 :</t>
    </r>
    <r>
      <rPr>
        <sz val="11"/>
        <rFont val="Arial"/>
        <family val="2"/>
      </rPr>
      <t xml:space="preserve"> Coût de stockage : Saisie des frais de stockage. Nous regardons les frais d'après le déchargement de la marchandise récoltée sur l'exploitation jusqu'à avant l'embarquement à nouveau à la sortie resp. avant la préparation/l'emballage.</t>
    </r>
  </si>
  <si>
    <r>
      <rPr>
        <u/>
        <sz val="11"/>
        <rFont val="Arial"/>
        <family val="2"/>
      </rPr>
      <t>Onglet 3 :</t>
    </r>
    <r>
      <rPr>
        <sz val="11"/>
        <rFont val="Arial"/>
        <family val="2"/>
      </rPr>
      <t xml:space="preserve"> Coût de préparation : Saisie des frais pour la pérparation de la marchandise. Nous regardons les frais d'après le déchargement de la marchandise récoltée sur l'exploitation resp. d'après le déstockage du refroidisseur jusqu'à avant l'embarquement à nouveau ou l'emballage.</t>
    </r>
  </si>
  <si>
    <r>
      <rPr>
        <u/>
        <sz val="11"/>
        <rFont val="Arial"/>
        <family val="2"/>
      </rPr>
      <t>Onglet 4 :</t>
    </r>
    <r>
      <rPr>
        <sz val="11"/>
        <rFont val="Arial"/>
        <family val="2"/>
      </rPr>
      <t xml:space="preserve"> Coût d'emballage : Saisie des frais pour l'emballage de la marchandise. Nous regardons les frais d'après le déchargement/la sortie du refroidisseur/la préparation jusqu'à ce que la marchandise est prête pour être livrée.</t>
    </r>
  </si>
  <si>
    <r>
      <rPr>
        <u/>
        <sz val="11"/>
        <color theme="1"/>
        <rFont val="Arial"/>
        <family val="2"/>
      </rPr>
      <t>Onglet 5 :</t>
    </r>
    <r>
      <rPr>
        <sz val="11"/>
        <color theme="1"/>
        <rFont val="Arial"/>
        <family val="2"/>
      </rPr>
      <t xml:space="preserve"> Coût de transport : Saisie des frais de transport. Nous regardons les frais depuis le refroidisseur/l'entrepôt de marchandise sortante jusqu'à la rampe de déchargement de l'acheteur.</t>
    </r>
  </si>
  <si>
    <t>Coûts des bâtiments (sans installation)</t>
  </si>
  <si>
    <t>Coûts d'électricité</t>
  </si>
  <si>
    <t>Contrôle et autres travaux</t>
  </si>
  <si>
    <t>Infrastructure et 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</si>
</sst>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
    <numFmt numFmtId="167" formatCode="0.0%"/>
  </numFmts>
  <fonts count="21" x14ac:knownFonts="1">
    <font>
      <sz val="11"/>
      <color theme="1"/>
      <name val="Arial"/>
      <family val="2"/>
    </font>
    <font>
      <sz val="10"/>
      <color theme="1"/>
      <name val="Arial"/>
      <family val="2"/>
    </font>
    <font>
      <sz val="9"/>
      <color theme="1"/>
      <name val="Arial"/>
      <family val="2"/>
    </font>
    <font>
      <b/>
      <sz val="12"/>
      <color theme="1"/>
      <name val="Arial"/>
      <family val="2"/>
    </font>
    <font>
      <b/>
      <sz val="9"/>
      <color theme="1"/>
      <name val="Arial"/>
      <family val="2"/>
    </font>
    <font>
      <i/>
      <sz val="9"/>
      <color theme="1"/>
      <name val="Arial"/>
      <family val="2"/>
    </font>
    <font>
      <b/>
      <i/>
      <sz val="9"/>
      <color theme="1"/>
      <name val="Arial"/>
      <family val="2"/>
    </font>
    <font>
      <b/>
      <i/>
      <sz val="11"/>
      <color theme="1"/>
      <name val="Arial"/>
    </font>
    <font>
      <i/>
      <sz val="8"/>
      <color theme="1"/>
      <name val="Arial"/>
      <family val="2"/>
    </font>
    <font>
      <sz val="9"/>
      <color theme="0" tint="-4.9989318521683403E-2"/>
      <name val="Arial"/>
      <family val="2"/>
    </font>
    <font>
      <b/>
      <sz val="11"/>
      <color theme="1"/>
      <name val="Arial"/>
      <family val="2"/>
    </font>
    <font>
      <sz val="9"/>
      <color theme="0"/>
      <name val="Arial"/>
      <family val="2"/>
    </font>
    <font>
      <b/>
      <sz val="16"/>
      <color theme="1"/>
      <name val="Arial"/>
      <family val="2"/>
    </font>
    <font>
      <u/>
      <sz val="11"/>
      <color theme="1"/>
      <name val="Arial"/>
      <family val="2"/>
    </font>
    <font>
      <i/>
      <sz val="7"/>
      <color theme="1"/>
      <name val="Arial"/>
      <family val="2"/>
    </font>
    <font>
      <sz val="8"/>
      <name val="Arial"/>
      <family val="2"/>
    </font>
    <font>
      <sz val="10"/>
      <color theme="0"/>
      <name val="Arial"/>
      <family val="2"/>
    </font>
    <font>
      <sz val="8"/>
      <color theme="1"/>
      <name val="Arial"/>
      <family val="2"/>
    </font>
    <font>
      <sz val="9"/>
      <color indexed="81"/>
      <name val="Calibri"/>
    </font>
    <font>
      <sz val="11"/>
      <name val="Arial"/>
      <family val="2"/>
    </font>
    <font>
      <u/>
      <sz val="11"/>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diagonal/>
    </border>
    <border>
      <left/>
      <right/>
      <top style="thin">
        <color auto="1"/>
      </top>
      <bottom style="hair">
        <color auto="1"/>
      </bottom>
      <diagonal/>
    </border>
    <border>
      <left/>
      <right style="thin">
        <color auto="1"/>
      </right>
      <top style="thin">
        <color auto="1"/>
      </top>
      <bottom style="hair">
        <color auto="1"/>
      </bottom>
      <diagonal/>
    </border>
    <border>
      <left/>
      <right/>
      <top/>
      <bottom style="hair">
        <color auto="1"/>
      </bottom>
      <diagonal/>
    </border>
    <border>
      <left style="thin">
        <color auto="1"/>
      </left>
      <right/>
      <top/>
      <bottom style="hair">
        <color auto="1"/>
      </bottom>
      <diagonal/>
    </border>
    <border>
      <left style="hair">
        <color auto="1"/>
      </left>
      <right/>
      <top/>
      <bottom/>
      <diagonal/>
    </border>
    <border>
      <left/>
      <right style="hair">
        <color auto="1"/>
      </right>
      <top/>
      <bottom/>
      <diagonal/>
    </border>
    <border>
      <left/>
      <right style="thin">
        <color auto="1"/>
      </right>
      <top/>
      <bottom/>
      <diagonal/>
    </border>
    <border>
      <left style="hair">
        <color auto="1"/>
      </left>
      <right style="thin">
        <color auto="1"/>
      </right>
      <top/>
      <bottom/>
      <diagonal/>
    </border>
    <border>
      <left style="thin">
        <color auto="1"/>
      </left>
      <right style="hair">
        <color auto="1"/>
      </right>
      <top/>
      <bottom/>
      <diagonal/>
    </border>
    <border>
      <left/>
      <right style="hair">
        <color auto="1"/>
      </right>
      <top style="hair">
        <color auto="1"/>
      </top>
      <bottom/>
      <diagonal/>
    </border>
    <border>
      <left style="hair">
        <color auto="1"/>
      </left>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top style="hair">
        <color auto="1"/>
      </top>
      <bottom style="thin">
        <color auto="1"/>
      </bottom>
      <diagonal/>
    </border>
  </borders>
  <cellStyleXfs count="1">
    <xf numFmtId="0" fontId="0" fillId="0" borderId="0"/>
  </cellStyleXfs>
  <cellXfs count="227">
    <xf numFmtId="0" fontId="0" fillId="0" borderId="0" xfId="0"/>
    <xf numFmtId="0" fontId="1" fillId="0" borderId="0" xfId="0" applyFont="1"/>
    <xf numFmtId="0" fontId="2" fillId="0" borderId="11" xfId="0" applyFont="1" applyBorder="1" applyAlignment="1">
      <alignment vertical="top" wrapText="1"/>
    </xf>
    <xf numFmtId="0" fontId="1" fillId="0" borderId="0" xfId="0" applyFont="1" applyBorder="1"/>
    <xf numFmtId="0" fontId="3" fillId="0" borderId="0" xfId="0" applyFont="1"/>
    <xf numFmtId="0" fontId="3" fillId="0" borderId="0" xfId="0" applyFont="1" applyBorder="1"/>
    <xf numFmtId="0" fontId="2" fillId="0" borderId="0" xfId="0" applyFont="1" applyBorder="1"/>
    <xf numFmtId="0" fontId="2" fillId="0" borderId="0" xfId="0" applyFont="1"/>
    <xf numFmtId="0" fontId="4" fillId="3" borderId="0" xfId="0" applyFont="1" applyFill="1" applyBorder="1"/>
    <xf numFmtId="0" fontId="2" fillId="3" borderId="0" xfId="0" applyFont="1" applyFill="1" applyBorder="1"/>
    <xf numFmtId="0" fontId="4" fillId="0" borderId="0" xfId="0" applyFont="1" applyFill="1" applyBorder="1"/>
    <xf numFmtId="0" fontId="2" fillId="0" borderId="0" xfId="0" applyFont="1" applyFill="1" applyBorder="1"/>
    <xf numFmtId="0" fontId="4" fillId="0" borderId="0" xfId="0" applyFont="1" applyBorder="1"/>
    <xf numFmtId="0" fontId="2" fillId="0" borderId="0" xfId="0" applyFont="1" applyBorder="1" applyAlignment="1">
      <alignment horizontal="right"/>
    </xf>
    <xf numFmtId="0" fontId="2" fillId="4" borderId="0" xfId="0" applyFont="1" applyFill="1"/>
    <xf numFmtId="0" fontId="2" fillId="3" borderId="0" xfId="0" applyFont="1" applyFill="1"/>
    <xf numFmtId="0" fontId="5" fillId="3" borderId="0" xfId="0" applyFont="1" applyFill="1" applyBorder="1"/>
    <xf numFmtId="0" fontId="5" fillId="0" borderId="0" xfId="0" applyFont="1" applyBorder="1" applyAlignment="1">
      <alignment horizontal="center"/>
    </xf>
    <xf numFmtId="0" fontId="5" fillId="0" borderId="0" xfId="0" applyFont="1" applyAlignment="1">
      <alignment horizontal="center"/>
    </xf>
    <xf numFmtId="0" fontId="6" fillId="0" borderId="0" xfId="0" applyFont="1" applyBorder="1"/>
    <xf numFmtId="0" fontId="5" fillId="3" borderId="0" xfId="0" applyFont="1" applyFill="1" applyBorder="1" applyAlignment="1">
      <alignment vertical="top" wrapText="1"/>
    </xf>
    <xf numFmtId="0" fontId="5" fillId="0" borderId="0" xfId="0" applyFont="1"/>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0" xfId="0" applyFont="1" applyFill="1" applyAlignment="1">
      <alignment horizontal="center"/>
    </xf>
    <xf numFmtId="0" fontId="4" fillId="4" borderId="0" xfId="0" applyFont="1" applyFill="1"/>
    <xf numFmtId="0" fontId="0" fillId="3" borderId="0" xfId="0" applyFill="1"/>
    <xf numFmtId="0" fontId="2" fillId="0" borderId="0" xfId="0" applyFont="1" applyFill="1"/>
    <xf numFmtId="0" fontId="0" fillId="0" borderId="0" xfId="0" applyFill="1"/>
    <xf numFmtId="0" fontId="4" fillId="3" borderId="0" xfId="0" applyFont="1" applyFill="1"/>
    <xf numFmtId="0" fontId="4" fillId="0" borderId="0" xfId="0" applyFont="1" applyFill="1"/>
    <xf numFmtId="0" fontId="6" fillId="0" borderId="0" xfId="0" applyFont="1"/>
    <xf numFmtId="0" fontId="2" fillId="0" borderId="1" xfId="0" applyFont="1" applyBorder="1"/>
    <xf numFmtId="0" fontId="2" fillId="0" borderId="3" xfId="0" applyFont="1" applyBorder="1"/>
    <xf numFmtId="0" fontId="2" fillId="0" borderId="2"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20" xfId="0" applyFont="1" applyBorder="1"/>
    <xf numFmtId="9" fontId="2" fillId="0" borderId="10" xfId="0" applyNumberFormat="1" applyFont="1" applyBorder="1"/>
    <xf numFmtId="0" fontId="2" fillId="0" borderId="19" xfId="0" applyFont="1" applyBorder="1"/>
    <xf numFmtId="0" fontId="2" fillId="0" borderId="13" xfId="0" applyFont="1" applyBorder="1"/>
    <xf numFmtId="0" fontId="2" fillId="0" borderId="17" xfId="0" applyFont="1" applyBorder="1"/>
    <xf numFmtId="0" fontId="2" fillId="0" borderId="18" xfId="0" applyFont="1" applyBorder="1"/>
    <xf numFmtId="0" fontId="2" fillId="0" borderId="21" xfId="0" applyFont="1" applyBorder="1"/>
    <xf numFmtId="0" fontId="2" fillId="0" borderId="15" xfId="0" applyFont="1" applyBorder="1"/>
    <xf numFmtId="0" fontId="6" fillId="3" borderId="0" xfId="0" applyFont="1" applyFill="1"/>
    <xf numFmtId="0" fontId="6" fillId="0" borderId="0" xfId="0" applyFont="1" applyFill="1"/>
    <xf numFmtId="0" fontId="7" fillId="3" borderId="0" xfId="0" applyFont="1" applyFill="1"/>
    <xf numFmtId="0" fontId="5" fillId="3" borderId="0" xfId="0" applyFont="1" applyFill="1" applyAlignment="1">
      <alignment horizontal="center"/>
    </xf>
    <xf numFmtId="0" fontId="5" fillId="3" borderId="0" xfId="0" applyFont="1" applyFill="1" applyAlignment="1">
      <alignment horizontal="center" vertical="top"/>
    </xf>
    <xf numFmtId="3" fontId="6" fillId="4" borderId="19" xfId="0" applyNumberFormat="1" applyFont="1" applyFill="1" applyBorder="1"/>
    <xf numFmtId="2" fontId="6" fillId="4" borderId="0" xfId="0" applyNumberFormat="1" applyFont="1" applyFill="1" applyBorder="1"/>
    <xf numFmtId="165" fontId="6" fillId="4" borderId="0" xfId="0" applyNumberFormat="1" applyFont="1" applyFill="1" applyBorder="1"/>
    <xf numFmtId="0" fontId="6" fillId="0" borderId="22" xfId="0" applyFont="1" applyBorder="1"/>
    <xf numFmtId="0" fontId="2" fillId="0" borderId="22" xfId="0" applyFont="1" applyBorder="1"/>
    <xf numFmtId="0" fontId="0" fillId="0" borderId="22" xfId="0" applyBorder="1"/>
    <xf numFmtId="0" fontId="5" fillId="0" borderId="22" xfId="0" applyFont="1" applyBorder="1" applyAlignment="1">
      <alignment horizontal="center"/>
    </xf>
    <xf numFmtId="0" fontId="6" fillId="0" borderId="17" xfId="0" applyFont="1" applyBorder="1"/>
    <xf numFmtId="0" fontId="5" fillId="0" borderId="17" xfId="0" applyFont="1" applyBorder="1" applyAlignment="1">
      <alignment horizontal="center"/>
    </xf>
    <xf numFmtId="0" fontId="6" fillId="0" borderId="17" xfId="0" applyFont="1" applyBorder="1" applyAlignment="1">
      <alignment horizontal="right"/>
    </xf>
    <xf numFmtId="0" fontId="6" fillId="0" borderId="17" xfId="0" applyFont="1" applyBorder="1" applyAlignment="1">
      <alignment horizontal="center"/>
    </xf>
    <xf numFmtId="0" fontId="2" fillId="3" borderId="19" xfId="0" applyFont="1" applyFill="1" applyBorder="1"/>
    <xf numFmtId="0" fontId="2" fillId="5" borderId="19" xfId="0" applyFont="1" applyFill="1" applyBorder="1"/>
    <xf numFmtId="0" fontId="2" fillId="5" borderId="0" xfId="0" applyFont="1" applyFill="1" applyBorder="1"/>
    <xf numFmtId="0" fontId="2" fillId="5" borderId="19" xfId="0" applyFont="1" applyFill="1" applyBorder="1" applyAlignment="1">
      <alignment horizontal="center"/>
    </xf>
    <xf numFmtId="0" fontId="2" fillId="5" borderId="0" xfId="0" applyFont="1" applyFill="1" applyBorder="1" applyAlignment="1">
      <alignment horizontal="center"/>
    </xf>
    <xf numFmtId="0" fontId="5" fillId="5" borderId="19" xfId="0" applyFont="1" applyFill="1" applyBorder="1" applyAlignment="1">
      <alignment horizontal="center"/>
    </xf>
    <xf numFmtId="0" fontId="5" fillId="5" borderId="0" xfId="0" applyFont="1" applyFill="1" applyBorder="1" applyAlignment="1">
      <alignment horizontal="center"/>
    </xf>
    <xf numFmtId="3" fontId="6" fillId="5" borderId="16" xfId="0" applyNumberFormat="1" applyFont="1" applyFill="1" applyBorder="1" applyAlignment="1">
      <alignment horizontal="center"/>
    </xf>
    <xf numFmtId="165" fontId="6" fillId="5" borderId="17" xfId="0" applyNumberFormat="1" applyFont="1" applyFill="1" applyBorder="1" applyAlignment="1">
      <alignment horizontal="center"/>
    </xf>
    <xf numFmtId="3" fontId="6" fillId="5" borderId="19" xfId="0" applyNumberFormat="1" applyFont="1" applyFill="1" applyBorder="1" applyAlignment="1">
      <alignment horizontal="center"/>
    </xf>
    <xf numFmtId="0" fontId="6" fillId="5" borderId="0" xfId="0" applyFont="1" applyFill="1" applyBorder="1" applyAlignment="1">
      <alignment horizontal="center"/>
    </xf>
    <xf numFmtId="165" fontId="6" fillId="5" borderId="0" xfId="0" applyNumberFormat="1" applyFont="1" applyFill="1" applyBorder="1" applyAlignment="1">
      <alignment horizontal="center"/>
    </xf>
    <xf numFmtId="3" fontId="6" fillId="4" borderId="19" xfId="0" applyNumberFormat="1" applyFont="1" applyFill="1" applyBorder="1" applyAlignment="1">
      <alignment horizontal="center"/>
    </xf>
    <xf numFmtId="165" fontId="6" fillId="4" borderId="0" xfId="0" applyNumberFormat="1" applyFont="1" applyFill="1" applyBorder="1" applyAlignment="1">
      <alignment horizontal="center"/>
    </xf>
    <xf numFmtId="0" fontId="0" fillId="5" borderId="19" xfId="0" applyFill="1" applyBorder="1"/>
    <xf numFmtId="0" fontId="0" fillId="5" borderId="0" xfId="0" applyFill="1" applyBorder="1"/>
    <xf numFmtId="0" fontId="8" fillId="5" borderId="19" xfId="0" applyFont="1" applyFill="1" applyBorder="1"/>
    <xf numFmtId="0" fontId="8" fillId="5" borderId="0" xfId="0" applyFont="1" applyFill="1" applyBorder="1" applyAlignment="1">
      <alignment horizontal="center"/>
    </xf>
    <xf numFmtId="3" fontId="6" fillId="5" borderId="23" xfId="0" applyNumberFormat="1" applyFont="1" applyFill="1" applyBorder="1"/>
    <xf numFmtId="2" fontId="6" fillId="5" borderId="22" xfId="0" applyNumberFormat="1" applyFont="1" applyFill="1" applyBorder="1"/>
    <xf numFmtId="165" fontId="6" fillId="5" borderId="22" xfId="0" applyNumberFormat="1" applyFont="1" applyFill="1" applyBorder="1"/>
    <xf numFmtId="0" fontId="2" fillId="0" borderId="0" xfId="0" applyFont="1" applyAlignment="1">
      <alignment horizontal="center"/>
    </xf>
    <xf numFmtId="165" fontId="2" fillId="0" borderId="0" xfId="0" applyNumberFormat="1" applyFont="1" applyAlignment="1">
      <alignment horizontal="center"/>
    </xf>
    <xf numFmtId="3" fontId="6" fillId="4" borderId="0" xfId="0" applyNumberFormat="1" applyFont="1" applyFill="1" applyBorder="1"/>
    <xf numFmtId="0" fontId="2" fillId="3" borderId="19" xfId="0" applyFont="1" applyFill="1" applyBorder="1" applyAlignment="1">
      <alignment horizontal="center"/>
    </xf>
    <xf numFmtId="0" fontId="2" fillId="3" borderId="0" xfId="0" applyFont="1" applyFill="1" applyBorder="1" applyAlignment="1">
      <alignment horizontal="center"/>
    </xf>
    <xf numFmtId="0" fontId="6" fillId="5" borderId="19" xfId="0" applyFont="1" applyFill="1" applyBorder="1" applyAlignment="1">
      <alignment horizontal="center"/>
    </xf>
    <xf numFmtId="165" fontId="2" fillId="5" borderId="0" xfId="0" applyNumberFormat="1" applyFont="1" applyFill="1" applyBorder="1" applyAlignment="1">
      <alignment horizontal="center"/>
    </xf>
    <xf numFmtId="0" fontId="5" fillId="5" borderId="19" xfId="0" applyFont="1" applyFill="1" applyBorder="1" applyAlignment="1">
      <alignment horizontal="center"/>
    </xf>
    <xf numFmtId="0" fontId="5" fillId="5" borderId="0" xfId="0" applyFont="1" applyFill="1" applyBorder="1" applyAlignment="1">
      <alignment horizontal="center"/>
    </xf>
    <xf numFmtId="3" fontId="9" fillId="5" borderId="19" xfId="0" applyNumberFormat="1" applyFont="1" applyFill="1" applyBorder="1" applyAlignment="1">
      <alignment horizontal="center"/>
    </xf>
    <xf numFmtId="3" fontId="2" fillId="0" borderId="0" xfId="0" applyNumberFormat="1" applyFont="1" applyFill="1"/>
    <xf numFmtId="165" fontId="2" fillId="0" borderId="0" xfId="0" applyNumberFormat="1" applyFont="1"/>
    <xf numFmtId="0" fontId="11" fillId="0" borderId="17" xfId="0" applyFont="1" applyBorder="1"/>
    <xf numFmtId="0" fontId="11" fillId="0" borderId="0" xfId="0" applyFont="1" applyBorder="1"/>
    <xf numFmtId="3" fontId="11" fillId="0" borderId="0" xfId="0" applyNumberFormat="1" applyFont="1" applyBorder="1"/>
    <xf numFmtId="3" fontId="2" fillId="0" borderId="12" xfId="0" applyNumberFormat="1" applyFont="1" applyFill="1" applyBorder="1"/>
    <xf numFmtId="3" fontId="2" fillId="0" borderId="0" xfId="0" applyNumberFormat="1" applyFont="1" applyFill="1" applyBorder="1"/>
    <xf numFmtId="3" fontId="2" fillId="0" borderId="17" xfId="0" applyNumberFormat="1" applyFont="1" applyFill="1" applyBorder="1"/>
    <xf numFmtId="0" fontId="10" fillId="0" borderId="0" xfId="0" applyFont="1"/>
    <xf numFmtId="0" fontId="0" fillId="2" borderId="0" xfId="0" applyFill="1"/>
    <xf numFmtId="0" fontId="12" fillId="0" borderId="0" xfId="0" applyFont="1"/>
    <xf numFmtId="0" fontId="14" fillId="0" borderId="24" xfId="0" applyFont="1" applyBorder="1" applyAlignment="1">
      <alignment horizontal="center"/>
    </xf>
    <xf numFmtId="0" fontId="14" fillId="0" borderId="25" xfId="0" applyFont="1" applyBorder="1" applyAlignment="1">
      <alignment horizontal="center"/>
    </xf>
    <xf numFmtId="0" fontId="14" fillId="0" borderId="27" xfId="0" applyFont="1" applyBorder="1" applyAlignment="1">
      <alignment horizontal="center"/>
    </xf>
    <xf numFmtId="0" fontId="2" fillId="0" borderId="27" xfId="0" applyFont="1" applyFill="1" applyBorder="1"/>
    <xf numFmtId="0" fontId="14" fillId="0" borderId="28" xfId="0" applyFont="1" applyBorder="1" applyAlignment="1">
      <alignment horizontal="center"/>
    </xf>
    <xf numFmtId="0" fontId="2" fillId="0" borderId="24" xfId="0" applyFont="1" applyFill="1" applyBorder="1"/>
    <xf numFmtId="0" fontId="5" fillId="0" borderId="25" xfId="0" applyFont="1" applyBorder="1" applyAlignment="1">
      <alignment horizontal="center"/>
    </xf>
    <xf numFmtId="0" fontId="5" fillId="0" borderId="24"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3" fontId="2" fillId="0" borderId="24" xfId="0" applyNumberFormat="1" applyFont="1" applyFill="1" applyBorder="1"/>
    <xf numFmtId="0" fontId="5" fillId="0" borderId="28" xfId="0" applyFont="1" applyBorder="1" applyAlignment="1">
      <alignment horizontal="center"/>
    </xf>
    <xf numFmtId="0" fontId="5" fillId="0" borderId="27"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3" fontId="2" fillId="0" borderId="27" xfId="0" applyNumberFormat="1" applyFont="1" applyFill="1" applyBorder="1"/>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3" fontId="2" fillId="2" borderId="2" xfId="0" applyNumberFormat="1" applyFont="1" applyFill="1" applyBorder="1" applyProtection="1">
      <protection locked="0"/>
    </xf>
    <xf numFmtId="9" fontId="2" fillId="2" borderId="10" xfId="0" applyNumberFormat="1" applyFont="1" applyFill="1" applyBorder="1" applyProtection="1">
      <protection locked="0"/>
    </xf>
    <xf numFmtId="3" fontId="2" fillId="2" borderId="12" xfId="0" applyNumberFormat="1" applyFont="1" applyFill="1" applyBorder="1" applyProtection="1">
      <protection locked="0"/>
    </xf>
    <xf numFmtId="3" fontId="2" fillId="2" borderId="16" xfId="0" applyNumberFormat="1" applyFont="1" applyFill="1" applyBorder="1" applyProtection="1">
      <protection locked="0"/>
    </xf>
    <xf numFmtId="3" fontId="2" fillId="2" borderId="14" xfId="0" applyNumberFormat="1" applyFont="1" applyFill="1" applyBorder="1" applyProtection="1">
      <protection locked="0"/>
    </xf>
    <xf numFmtId="3" fontId="2" fillId="2" borderId="0" xfId="0" applyNumberFormat="1" applyFont="1" applyFill="1" applyBorder="1" applyProtection="1">
      <protection locked="0"/>
    </xf>
    <xf numFmtId="3" fontId="2" fillId="2" borderId="25" xfId="0" applyNumberFormat="1" applyFont="1" applyFill="1" applyBorder="1" applyProtection="1">
      <protection locked="0"/>
    </xf>
    <xf numFmtId="3" fontId="2" fillId="2" borderId="28" xfId="0" applyNumberFormat="1" applyFont="1" applyFill="1" applyBorder="1" applyProtection="1">
      <protection locked="0"/>
    </xf>
    <xf numFmtId="0" fontId="2" fillId="2" borderId="0" xfId="0" applyFont="1" applyFill="1" applyBorder="1" applyProtection="1">
      <protection locked="0"/>
    </xf>
    <xf numFmtId="166" fontId="2" fillId="2" borderId="0" xfId="0" applyNumberFormat="1" applyFont="1" applyFill="1" applyProtection="1">
      <protection locked="0"/>
    </xf>
    <xf numFmtId="3" fontId="2" fillId="2" borderId="0" xfId="0" applyNumberFormat="1" applyFont="1" applyFill="1" applyProtection="1">
      <protection locked="0"/>
    </xf>
    <xf numFmtId="2" fontId="2" fillId="2" borderId="0" xfId="0" applyNumberFormat="1" applyFont="1" applyFill="1" applyProtection="1">
      <protection locked="0"/>
    </xf>
    <xf numFmtId="0" fontId="2" fillId="2" borderId="25" xfId="0" applyFont="1" applyFill="1" applyBorder="1" applyProtection="1">
      <protection locked="0"/>
    </xf>
    <xf numFmtId="0" fontId="2" fillId="2" borderId="28" xfId="0" applyFont="1" applyFill="1" applyBorder="1" applyProtection="1">
      <protection locked="0"/>
    </xf>
    <xf numFmtId="0" fontId="2" fillId="2" borderId="0" xfId="0" applyFont="1" applyFill="1" applyProtection="1">
      <protection locked="0"/>
    </xf>
    <xf numFmtId="164" fontId="2" fillId="2" borderId="0" xfId="0" applyNumberFormat="1" applyFont="1" applyFill="1" applyProtection="1">
      <protection locked="0"/>
    </xf>
    <xf numFmtId="0" fontId="2" fillId="2" borderId="0" xfId="0" applyFont="1" applyFill="1" applyAlignment="1" applyProtection="1">
      <alignment horizontal="right"/>
      <protection locked="0"/>
    </xf>
    <xf numFmtId="0" fontId="5" fillId="5" borderId="19" xfId="0" applyFont="1" applyFill="1" applyBorder="1" applyAlignment="1">
      <alignment horizontal="center"/>
    </xf>
    <xf numFmtId="0" fontId="5" fillId="5" borderId="0" xfId="0" applyFont="1" applyFill="1" applyBorder="1" applyAlignment="1">
      <alignment horizontal="center"/>
    </xf>
    <xf numFmtId="0" fontId="5" fillId="3" borderId="0" xfId="0" applyFont="1" applyFill="1" applyAlignment="1">
      <alignment horizontal="center"/>
    </xf>
    <xf numFmtId="0" fontId="5" fillId="3" borderId="0" xfId="0" applyFont="1" applyFill="1" applyAlignment="1">
      <alignment horizontal="center" vertical="top"/>
    </xf>
    <xf numFmtId="0" fontId="5" fillId="5" borderId="19" xfId="0" applyFont="1" applyFill="1" applyBorder="1" applyAlignment="1">
      <alignment horizontal="center"/>
    </xf>
    <xf numFmtId="0" fontId="5" fillId="5" borderId="0" xfId="0" applyFont="1" applyFill="1" applyBorder="1" applyAlignment="1">
      <alignment horizontal="center"/>
    </xf>
    <xf numFmtId="0" fontId="5" fillId="3" borderId="0" xfId="0" applyFont="1" applyFill="1" applyBorder="1" applyAlignment="1">
      <alignment horizontal="center"/>
    </xf>
    <xf numFmtId="0" fontId="5" fillId="5" borderId="19" xfId="0" applyFont="1" applyFill="1" applyBorder="1" applyAlignment="1">
      <alignment horizontal="center"/>
    </xf>
    <xf numFmtId="0" fontId="5" fillId="5" borderId="0" xfId="0" applyFont="1" applyFill="1" applyBorder="1" applyAlignment="1">
      <alignment horizontal="center"/>
    </xf>
    <xf numFmtId="3" fontId="2" fillId="2" borderId="17" xfId="0" applyNumberFormat="1" applyFont="1" applyFill="1" applyBorder="1" applyProtection="1">
      <protection locked="0"/>
    </xf>
    <xf numFmtId="0" fontId="6" fillId="3" borderId="25" xfId="0" applyFont="1" applyFill="1" applyBorder="1"/>
    <xf numFmtId="0" fontId="0" fillId="0" borderId="0" xfId="0" applyBorder="1"/>
    <xf numFmtId="0" fontId="2" fillId="0" borderId="0" xfId="0" applyFont="1" applyBorder="1" applyAlignment="1">
      <alignment horizontal="center"/>
    </xf>
    <xf numFmtId="0" fontId="0" fillId="0" borderId="0" xfId="0" applyBorder="1" applyAlignment="1">
      <alignment horizontal="center"/>
    </xf>
    <xf numFmtId="165" fontId="6" fillId="3" borderId="0" xfId="0" applyNumberFormat="1" applyFont="1" applyFill="1" applyBorder="1"/>
    <xf numFmtId="167" fontId="6" fillId="3" borderId="24" xfId="0" applyNumberFormat="1" applyFont="1" applyFill="1" applyBorder="1" applyAlignment="1">
      <alignment horizontal="center"/>
    </xf>
    <xf numFmtId="9" fontId="6" fillId="3" borderId="24" xfId="0" applyNumberFormat="1" applyFont="1" applyFill="1" applyBorder="1" applyAlignment="1">
      <alignment horizontal="center"/>
    </xf>
    <xf numFmtId="3" fontId="2" fillId="0" borderId="0" xfId="0" applyNumberFormat="1" applyFont="1" applyFill="1" applyBorder="1" applyProtection="1">
      <protection locked="0"/>
    </xf>
    <xf numFmtId="0" fontId="5" fillId="0" borderId="0" xfId="0" applyFont="1" applyFill="1" applyBorder="1" applyAlignment="1">
      <alignment horizontal="center"/>
    </xf>
    <xf numFmtId="0" fontId="6" fillId="0" borderId="29" xfId="0" applyFont="1" applyBorder="1" applyAlignment="1">
      <alignment horizontal="center"/>
    </xf>
    <xf numFmtId="0" fontId="6" fillId="0" borderId="32" xfId="0" applyFont="1" applyBorder="1" applyAlignment="1">
      <alignment horizontal="center"/>
    </xf>
    <xf numFmtId="0" fontId="6" fillId="0" borderId="31" xfId="0" applyFont="1" applyBorder="1" applyAlignment="1">
      <alignment horizontal="center"/>
    </xf>
    <xf numFmtId="0" fontId="6" fillId="0" borderId="30" xfId="0" applyFont="1" applyBorder="1" applyAlignment="1">
      <alignment horizontal="center"/>
    </xf>
    <xf numFmtId="0" fontId="6" fillId="0" borderId="17" xfId="0" applyFont="1" applyFill="1" applyBorder="1"/>
    <xf numFmtId="0" fontId="2" fillId="0" borderId="17" xfId="0" applyFont="1" applyFill="1" applyBorder="1"/>
    <xf numFmtId="0" fontId="0" fillId="0" borderId="4" xfId="0" applyBorder="1"/>
    <xf numFmtId="0" fontId="0" fillId="0" borderId="5" xfId="0" applyBorder="1"/>
    <xf numFmtId="0" fontId="0" fillId="0" borderId="6" xfId="0" applyBorder="1"/>
    <xf numFmtId="0" fontId="4" fillId="0" borderId="19" xfId="0" applyFont="1" applyBorder="1"/>
    <xf numFmtId="0" fontId="0" fillId="0" borderId="26" xfId="0" applyBorder="1"/>
    <xf numFmtId="0" fontId="0" fillId="0" borderId="7" xfId="0" applyBorder="1"/>
    <xf numFmtId="0" fontId="0" fillId="0" borderId="8" xfId="0" applyBorder="1"/>
    <xf numFmtId="0" fontId="0" fillId="0" borderId="9" xfId="0" applyBorder="1"/>
    <xf numFmtId="0" fontId="5" fillId="0" borderId="0" xfId="0" applyFont="1" applyBorder="1" applyAlignment="1">
      <alignment horizontal="right"/>
    </xf>
    <xf numFmtId="0" fontId="5" fillId="0" borderId="17" xfId="0" applyFont="1" applyBorder="1" applyAlignment="1">
      <alignment horizontal="right"/>
    </xf>
    <xf numFmtId="0" fontId="1" fillId="0" borderId="0" xfId="0" applyFont="1" applyBorder="1" applyAlignment="1">
      <alignment horizontal="right"/>
    </xf>
    <xf numFmtId="0" fontId="0" fillId="0" borderId="0" xfId="0" applyAlignment="1">
      <alignment horizontal="right"/>
    </xf>
    <xf numFmtId="0" fontId="1" fillId="0" borderId="0" xfId="0" applyFont="1" applyAlignment="1">
      <alignment horizontal="right"/>
    </xf>
    <xf numFmtId="0" fontId="1" fillId="0" borderId="5" xfId="0" applyFont="1" applyBorder="1"/>
    <xf numFmtId="0" fontId="1" fillId="0" borderId="19" xfId="0" applyFont="1" applyBorder="1"/>
    <xf numFmtId="0" fontId="1" fillId="0" borderId="7" xfId="0" applyFont="1" applyBorder="1"/>
    <xf numFmtId="9" fontId="2" fillId="2" borderId="1" xfId="0" applyNumberFormat="1" applyFont="1" applyFill="1" applyBorder="1" applyProtection="1">
      <protection locked="0"/>
    </xf>
    <xf numFmtId="9" fontId="2" fillId="0" borderId="1" xfId="0" applyNumberFormat="1" applyFont="1" applyBorder="1"/>
    <xf numFmtId="0" fontId="1" fillId="0" borderId="15" xfId="0" applyFont="1" applyBorder="1"/>
    <xf numFmtId="0" fontId="16" fillId="0" borderId="0" xfId="0" applyFont="1"/>
    <xf numFmtId="3" fontId="2" fillId="0" borderId="0" xfId="0" applyNumberFormat="1" applyFont="1" applyFill="1" applyBorder="1" applyProtection="1"/>
    <xf numFmtId="3" fontId="2" fillId="0" borderId="0" xfId="0" applyNumberFormat="1" applyFont="1" applyFill="1" applyProtection="1"/>
    <xf numFmtId="0" fontId="17" fillId="0" borderId="0" xfId="0" applyFont="1" applyBorder="1"/>
    <xf numFmtId="0" fontId="5" fillId="5" borderId="19" xfId="0" applyFont="1" applyFill="1" applyBorder="1" applyAlignment="1">
      <alignment horizontal="center"/>
    </xf>
    <xf numFmtId="0" fontId="5" fillId="5" borderId="0" xfId="0" applyFont="1" applyFill="1" applyBorder="1" applyAlignment="1">
      <alignment horizontal="center"/>
    </xf>
    <xf numFmtId="0" fontId="2" fillId="0" borderId="37" xfId="0" applyFont="1" applyBorder="1"/>
    <xf numFmtId="0" fontId="5" fillId="2" borderId="17" xfId="0" applyFont="1" applyFill="1" applyBorder="1" applyAlignment="1" applyProtection="1">
      <alignment horizontal="center"/>
      <protection locked="0"/>
    </xf>
    <xf numFmtId="0" fontId="2" fillId="0" borderId="11" xfId="0" applyFont="1" applyFill="1" applyBorder="1" applyAlignment="1">
      <alignment vertical="top" wrapText="1"/>
    </xf>
    <xf numFmtId="0" fontId="5" fillId="3" borderId="0" xfId="0" applyFont="1" applyFill="1" applyAlignment="1">
      <alignment horizontal="center" vertical="top"/>
    </xf>
    <xf numFmtId="0" fontId="1" fillId="0" borderId="0" xfId="0" applyFont="1" applyAlignment="1">
      <alignment vertical="center"/>
    </xf>
    <xf numFmtId="0" fontId="0" fillId="0" borderId="0" xfId="0" applyAlignment="1">
      <alignment horizontal="left" wrapText="1"/>
    </xf>
    <xf numFmtId="0" fontId="0" fillId="0" borderId="0" xfId="0" applyAlignment="1">
      <alignment horizontal="left" vertical="top" wrapText="1"/>
    </xf>
    <xf numFmtId="0" fontId="19" fillId="0" borderId="0" xfId="0" applyFont="1" applyAlignment="1">
      <alignment horizontal="left" wrapText="1"/>
    </xf>
    <xf numFmtId="0" fontId="2" fillId="0" borderId="5" xfId="0" applyFont="1" applyBorder="1" applyAlignment="1">
      <alignment horizontal="center"/>
    </xf>
    <xf numFmtId="0" fontId="2" fillId="0" borderId="6" xfId="0" applyFont="1" applyBorder="1" applyAlignment="1">
      <alignment horizontal="center"/>
    </xf>
    <xf numFmtId="0" fontId="1" fillId="2" borderId="0" xfId="0" applyFont="1" applyFill="1" applyBorder="1" applyAlignment="1" applyProtection="1">
      <alignment horizontal="left"/>
      <protection locked="0"/>
    </xf>
    <xf numFmtId="0" fontId="5" fillId="3" borderId="0" xfId="0" applyFont="1" applyFill="1" applyAlignment="1">
      <alignment horizontal="center"/>
    </xf>
    <xf numFmtId="0" fontId="5" fillId="3" borderId="0" xfId="0" applyFont="1" applyFill="1" applyBorder="1" applyAlignment="1">
      <alignment horizontal="center" vertical="top" wrapText="1"/>
    </xf>
    <xf numFmtId="0" fontId="5" fillId="3" borderId="0" xfId="0" applyFont="1" applyFill="1" applyBorder="1" applyAlignment="1">
      <alignment horizontal="center"/>
    </xf>
    <xf numFmtId="0" fontId="5" fillId="3" borderId="19" xfId="0" applyFont="1" applyFill="1" applyBorder="1" applyAlignment="1">
      <alignment horizontal="center"/>
    </xf>
    <xf numFmtId="0" fontId="5" fillId="3" borderId="19" xfId="0" applyFont="1" applyFill="1" applyBorder="1" applyAlignment="1">
      <alignment horizontal="center" vertical="top" wrapText="1"/>
    </xf>
    <xf numFmtId="0" fontId="5" fillId="3" borderId="26" xfId="0" applyFont="1" applyFill="1" applyBorder="1" applyAlignment="1">
      <alignment horizontal="center" vertical="top" wrapText="1"/>
    </xf>
    <xf numFmtId="0" fontId="5" fillId="3" borderId="0" xfId="0" applyFont="1" applyFill="1" applyAlignment="1">
      <alignment horizontal="center" vertical="top"/>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left" vertical="top" wrapText="1"/>
    </xf>
    <xf numFmtId="0" fontId="1" fillId="2" borderId="0" xfId="0" applyNumberFormat="1" applyFont="1" applyFill="1" applyAlignment="1" applyProtection="1">
      <alignment horizontal="left"/>
      <protection locked="0"/>
    </xf>
    <xf numFmtId="0" fontId="5" fillId="2" borderId="17" xfId="0" applyFont="1" applyFill="1" applyBorder="1" applyAlignment="1" applyProtection="1">
      <alignment horizontal="left"/>
      <protection locked="0"/>
    </xf>
    <xf numFmtId="0" fontId="5" fillId="5" borderId="19" xfId="0" applyFont="1" applyFill="1" applyBorder="1" applyAlignment="1">
      <alignment horizontal="center"/>
    </xf>
    <xf numFmtId="0" fontId="5" fillId="5" borderId="0" xfId="0" applyFont="1" applyFill="1" applyBorder="1" applyAlignment="1">
      <alignment horizontal="center"/>
    </xf>
    <xf numFmtId="0" fontId="8" fillId="3" borderId="0" xfId="0" applyFont="1" applyFill="1" applyBorder="1" applyAlignment="1">
      <alignment horizontal="center" vertical="top" wrapText="1"/>
    </xf>
    <xf numFmtId="0" fontId="8" fillId="3" borderId="26" xfId="0" applyFont="1" applyFill="1" applyBorder="1" applyAlignment="1">
      <alignment horizontal="center" vertical="top" wrapText="1"/>
    </xf>
    <xf numFmtId="0" fontId="8" fillId="3" borderId="19" xfId="0" applyFont="1" applyFill="1" applyBorder="1" applyAlignment="1">
      <alignment horizontal="center" vertical="top" wrapText="1"/>
    </xf>
    <xf numFmtId="0" fontId="8" fillId="3" borderId="19" xfId="0" applyFont="1" applyFill="1" applyBorder="1" applyAlignment="1">
      <alignment horizontal="center" vertical="top"/>
    </xf>
    <xf numFmtId="0" fontId="8" fillId="3" borderId="0" xfId="0" applyFont="1" applyFill="1" applyAlignment="1">
      <alignment horizontal="center" vertical="top"/>
    </xf>
    <xf numFmtId="0" fontId="1" fillId="2" borderId="0" xfId="0" applyFont="1" applyFill="1" applyAlignment="1" applyProtection="1">
      <alignment horizontal="left"/>
      <protection locked="0"/>
    </xf>
    <xf numFmtId="0" fontId="5" fillId="2" borderId="0" xfId="0" applyFont="1" applyFill="1" applyBorder="1" applyAlignment="1" applyProtection="1">
      <alignment horizontal="left"/>
      <protection locked="0"/>
    </xf>
    <xf numFmtId="0" fontId="2" fillId="0" borderId="0" xfId="0" applyFont="1" applyBorder="1" applyAlignment="1">
      <alignment horizontal="center"/>
    </xf>
    <xf numFmtId="0" fontId="0" fillId="2" borderId="0" xfId="0" applyFill="1" applyAlignment="1" applyProtection="1">
      <alignment horizontal="left"/>
      <protection locked="0"/>
    </xf>
  </cellXfs>
  <cellStyles count="1">
    <cellStyle name="Standard"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de-CH" sz="1600"/>
              <a:t>Frais</a:t>
            </a:r>
            <a:r>
              <a:rPr lang="de-CH" sz="1600" baseline="0"/>
              <a:t> pour stockage, préparation, emballage et transport</a:t>
            </a:r>
            <a:endParaRPr lang="de-CH" sz="1600"/>
          </a:p>
        </c:rich>
      </c:tx>
      <c:layout>
        <c:manualLayout>
          <c:xMode val="edge"/>
          <c:yMode val="edge"/>
          <c:x val="8.9697653501090435E-2"/>
          <c:y val="2.1996925972896323E-2"/>
        </c:manualLayout>
      </c:layout>
      <c:overlay val="1"/>
    </c:title>
    <c:autoTitleDeleted val="0"/>
    <c:plotArea>
      <c:layout>
        <c:manualLayout>
          <c:layoutTarget val="inner"/>
          <c:xMode val="edge"/>
          <c:yMode val="edge"/>
          <c:x val="0.23408343693880401"/>
          <c:y val="0.195179289893084"/>
          <c:w val="0.40067460719321302"/>
          <c:h val="0.75"/>
        </c:manualLayout>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('6_Evaluation'!$A$3,'6_Evaluation'!$A$9,'6_Evaluation'!$A$15,'6_Evaluation'!$A$23)</c:f>
              <c:strCache>
                <c:ptCount val="4"/>
                <c:pt idx="0">
                  <c:v>Coût de stockage</c:v>
                </c:pt>
                <c:pt idx="1">
                  <c:v>Côut de préparation</c:v>
                </c:pt>
                <c:pt idx="2">
                  <c:v>Coût d'emballage</c:v>
                </c:pt>
                <c:pt idx="3">
                  <c:v>Côut de transport</c:v>
                </c:pt>
              </c:strCache>
            </c:strRef>
          </c:cat>
          <c:val>
            <c:numRef>
              <c:f>('6_Evaluation'!$G$3,'6_Evaluation'!$G$9,'6_Evaluation'!$G$15,'6_Evaluation'!$G$23)</c:f>
              <c:numCache>
                <c:formatCode>0.0000</c:formatCode>
                <c:ptCount val="4"/>
                <c:pt idx="0">
                  <c:v>0.13766654545454543</c:v>
                </c:pt>
                <c:pt idx="1">
                  <c:v>4.4933333333333339E-2</c:v>
                </c:pt>
                <c:pt idx="2">
                  <c:v>0.32500152380952385</c:v>
                </c:pt>
                <c:pt idx="3">
                  <c:v>3.8387333333333329E-2</c:v>
                </c:pt>
              </c:numCache>
            </c:numRef>
          </c:val>
          <c:extLst>
            <c:ext xmlns:c16="http://schemas.microsoft.com/office/drawing/2014/chart" uri="{C3380CC4-5D6E-409C-BE32-E72D297353CC}">
              <c16:uniqueId val="{00000000-8B2E-46CD-8EE3-D9658A116B0A}"/>
            </c:ext>
          </c:extLst>
        </c:ser>
        <c:dLbls>
          <c:showLegendKey val="0"/>
          <c:showVal val="1"/>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469853</xdr:colOff>
      <xdr:row>20</xdr:row>
      <xdr:rowOff>47625</xdr:rowOff>
    </xdr:from>
    <xdr:to>
      <xdr:col>6</xdr:col>
      <xdr:colOff>485775</xdr:colOff>
      <xdr:row>23</xdr:row>
      <xdr:rowOff>149034</xdr:rowOff>
    </xdr:to>
    <xdr:pic>
      <xdr:nvPicPr>
        <xdr:cNvPr id="2" name="Picture 1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9353" y="6136005"/>
          <a:ext cx="1677082" cy="627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648938</xdr:colOff>
      <xdr:row>29</xdr:row>
      <xdr:rowOff>134622</xdr:rowOff>
    </xdr:from>
    <xdr:to>
      <xdr:col>5</xdr:col>
      <xdr:colOff>410813</xdr:colOff>
      <xdr:row>35</xdr:row>
      <xdr:rowOff>93181</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rot="21068991">
          <a:off x="753713" y="7954647"/>
          <a:ext cx="4067175" cy="1044409"/>
        </a:xfrm>
        <a:prstGeom prst="rect">
          <a:avLst/>
        </a:prstGeom>
        <a:solidFill>
          <a:srgbClr val="FF66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Les données qui se</a:t>
          </a:r>
          <a:r>
            <a:rPr lang="de-CH" sz="1100" baseline="0"/>
            <a:t> trouvent dans les onglets suivants sont seulement des </a:t>
          </a:r>
          <a:r>
            <a:rPr lang="de-CH" sz="1100" b="1" u="sng" baseline="0"/>
            <a:t>chiffres exemplaires</a:t>
          </a:r>
          <a:r>
            <a:rPr lang="de-CH" sz="1100" baseline="0"/>
            <a:t>.</a:t>
          </a:r>
        </a:p>
        <a:p>
          <a:endParaRPr lang="de-CH" sz="1100"/>
        </a:p>
        <a:p>
          <a:r>
            <a:rPr lang="de-CH" sz="1100"/>
            <a:t>Vos réactions par rapport à l'outil de calcul sont les bienvenus </a:t>
          </a:r>
          <a:r>
            <a:rPr lang="de-CH" sz="1100" baseline="0"/>
            <a:t>(christian.bucher@vol.be.ch / 031 636 24 12)</a:t>
          </a:r>
        </a:p>
        <a:p>
          <a:endParaRPr lang="de-CH"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28</xdr:row>
      <xdr:rowOff>179244</xdr:rowOff>
    </xdr:from>
    <xdr:to>
      <xdr:col>9</xdr:col>
      <xdr:colOff>285750</xdr:colOff>
      <xdr:row>45</xdr:row>
      <xdr:rowOff>114300</xdr:rowOff>
    </xdr:to>
    <xdr:graphicFrame macro="">
      <xdr:nvGraphicFramePr>
        <xdr:cNvPr id="7" name="Diagramm 6">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showGridLines="0" tabSelected="1" zoomScaleNormal="100" workbookViewId="0">
      <selection activeCell="L34" sqref="L34"/>
    </sheetView>
  </sheetViews>
  <sheetFormatPr baseColWidth="10" defaultRowHeight="14.25" x14ac:dyDescent="0.2"/>
  <cols>
    <col min="1" max="1" width="1.375" customWidth="1"/>
    <col min="3" max="3" width="23.625" customWidth="1"/>
    <col min="4" max="4" width="11.5" customWidth="1"/>
    <col min="5" max="5" width="12.75" customWidth="1"/>
    <col min="6" max="6" width="9" customWidth="1"/>
    <col min="7" max="7" width="16.375" customWidth="1"/>
  </cols>
  <sheetData>
    <row r="1" spans="1:10" ht="20.25" x14ac:dyDescent="0.3">
      <c r="A1" s="106" t="s">
        <v>135</v>
      </c>
    </row>
    <row r="4" spans="1:10" ht="42.75" customHeight="1" x14ac:dyDescent="0.2">
      <c r="A4" s="200" t="s">
        <v>136</v>
      </c>
      <c r="B4" s="200"/>
      <c r="C4" s="200"/>
      <c r="D4" s="200"/>
      <c r="E4" s="200"/>
      <c r="F4" s="200"/>
      <c r="G4" s="200"/>
    </row>
    <row r="6" spans="1:10" ht="15" x14ac:dyDescent="0.25">
      <c r="A6" s="104" t="s">
        <v>127</v>
      </c>
    </row>
    <row r="7" spans="1:10" ht="20.25" customHeight="1" x14ac:dyDescent="0.2">
      <c r="A7" t="s">
        <v>128</v>
      </c>
    </row>
    <row r="8" spans="1:10" ht="34.5" customHeight="1" x14ac:dyDescent="0.2">
      <c r="A8" s="199" t="s">
        <v>137</v>
      </c>
      <c r="B8" s="199"/>
      <c r="C8" s="199"/>
      <c r="D8" s="199"/>
      <c r="E8" s="199"/>
      <c r="F8" s="199"/>
      <c r="G8" s="199"/>
    </row>
    <row r="9" spans="1:10" ht="49.5" customHeight="1" x14ac:dyDescent="0.2">
      <c r="A9" s="201" t="s">
        <v>166</v>
      </c>
      <c r="B9" s="201"/>
      <c r="C9" s="201"/>
      <c r="D9" s="201"/>
      <c r="E9" s="201"/>
      <c r="F9" s="201"/>
      <c r="G9" s="201"/>
    </row>
    <row r="10" spans="1:10" ht="52.5" customHeight="1" x14ac:dyDescent="0.2">
      <c r="A10" s="201" t="s">
        <v>167</v>
      </c>
      <c r="B10" s="201"/>
      <c r="C10" s="201"/>
      <c r="D10" s="201"/>
      <c r="E10" s="201"/>
      <c r="F10" s="201"/>
      <c r="G10" s="201"/>
    </row>
    <row r="11" spans="1:10" ht="51" customHeight="1" x14ac:dyDescent="0.2">
      <c r="A11" s="201" t="s">
        <v>168</v>
      </c>
      <c r="B11" s="201"/>
      <c r="C11" s="201"/>
      <c r="D11" s="201"/>
      <c r="E11" s="201"/>
      <c r="F11" s="201"/>
      <c r="G11" s="201"/>
    </row>
    <row r="12" spans="1:10" ht="34.5" customHeight="1" x14ac:dyDescent="0.2">
      <c r="A12" s="199" t="s">
        <v>169</v>
      </c>
      <c r="B12" s="199"/>
      <c r="C12" s="199"/>
      <c r="D12" s="199"/>
      <c r="E12" s="199"/>
      <c r="F12" s="199"/>
      <c r="G12" s="199"/>
    </row>
    <row r="13" spans="1:10" ht="27" customHeight="1" x14ac:dyDescent="0.2">
      <c r="A13" s="199" t="s">
        <v>129</v>
      </c>
      <c r="B13" s="199"/>
      <c r="C13" s="199"/>
      <c r="D13" s="199"/>
      <c r="E13" s="199"/>
      <c r="F13" s="199"/>
      <c r="G13" s="199"/>
      <c r="J13" s="191"/>
    </row>
    <row r="16" spans="1:10" x14ac:dyDescent="0.2">
      <c r="A16" t="s">
        <v>130</v>
      </c>
      <c r="D16" s="28"/>
      <c r="E16" s="105" t="s">
        <v>131</v>
      </c>
    </row>
    <row r="17" spans="1:10" x14ac:dyDescent="0.2">
      <c r="A17" s="28" t="s">
        <v>132</v>
      </c>
    </row>
    <row r="19" spans="1:10" ht="12.75" customHeight="1" x14ac:dyDescent="0.2">
      <c r="J19" s="198"/>
    </row>
    <row r="20" spans="1:10" ht="8.25" customHeight="1" x14ac:dyDescent="0.2">
      <c r="A20" s="169"/>
      <c r="B20" s="170"/>
      <c r="C20" s="170"/>
      <c r="D20" s="170"/>
      <c r="E20" s="170"/>
      <c r="F20" s="170"/>
      <c r="G20" s="171"/>
      <c r="J20" s="198"/>
    </row>
    <row r="21" spans="1:10" x14ac:dyDescent="0.2">
      <c r="A21" s="172"/>
      <c r="B21" s="12" t="s">
        <v>133</v>
      </c>
      <c r="C21" s="155"/>
      <c r="D21" s="155"/>
      <c r="E21" s="155"/>
      <c r="F21" s="155"/>
      <c r="G21" s="173"/>
      <c r="J21" s="198"/>
    </row>
    <row r="22" spans="1:10" x14ac:dyDescent="0.2">
      <c r="A22" s="43"/>
      <c r="B22" s="6" t="s">
        <v>11</v>
      </c>
      <c r="C22" s="155"/>
      <c r="D22" s="155"/>
      <c r="E22" s="155"/>
      <c r="F22" s="155"/>
      <c r="G22" s="173"/>
      <c r="J22" s="198"/>
    </row>
    <row r="23" spans="1:10" x14ac:dyDescent="0.2">
      <c r="A23" s="43"/>
      <c r="B23" s="6" t="s">
        <v>12</v>
      </c>
      <c r="C23" s="155"/>
      <c r="D23" s="155"/>
      <c r="E23" s="155"/>
      <c r="F23" s="155"/>
      <c r="G23" s="173"/>
      <c r="J23" s="198"/>
    </row>
    <row r="24" spans="1:10" x14ac:dyDescent="0.2">
      <c r="A24" s="43"/>
      <c r="B24" s="6" t="s">
        <v>14</v>
      </c>
      <c r="C24" s="155"/>
      <c r="D24" s="155"/>
      <c r="E24" s="155"/>
      <c r="F24" s="155"/>
      <c r="G24" s="173"/>
      <c r="J24" s="198"/>
    </row>
    <row r="25" spans="1:10" ht="3" customHeight="1" x14ac:dyDescent="0.2">
      <c r="A25" s="43"/>
      <c r="B25" s="6"/>
      <c r="C25" s="155"/>
      <c r="D25" s="155"/>
      <c r="E25" s="155"/>
      <c r="F25" s="155"/>
      <c r="G25" s="173"/>
      <c r="J25" s="198"/>
    </row>
    <row r="26" spans="1:10" x14ac:dyDescent="0.2">
      <c r="A26" s="43"/>
      <c r="B26" s="191" t="s">
        <v>134</v>
      </c>
      <c r="C26" s="155"/>
      <c r="D26" s="155"/>
      <c r="E26" s="155"/>
      <c r="F26" s="155"/>
      <c r="G26" s="173"/>
      <c r="J26" s="198"/>
    </row>
    <row r="27" spans="1:10" ht="6.75" customHeight="1" x14ac:dyDescent="0.2">
      <c r="A27" s="174"/>
      <c r="B27" s="175"/>
      <c r="C27" s="175"/>
      <c r="D27" s="175"/>
      <c r="E27" s="175"/>
      <c r="F27" s="175"/>
      <c r="G27" s="176"/>
    </row>
  </sheetData>
  <sheetProtection sheet="1" objects="1" scenarios="1"/>
  <mergeCells count="7">
    <mergeCell ref="A13:G13"/>
    <mergeCell ref="A4:G4"/>
    <mergeCell ref="A8:G8"/>
    <mergeCell ref="A9:G9"/>
    <mergeCell ref="A11:G11"/>
    <mergeCell ref="A12:G12"/>
    <mergeCell ref="A10:G10"/>
  </mergeCells>
  <pageMargins left="0.70866141732283472" right="0.70866141732283472" top="0.78740157480314965" bottom="0.78740157480314965"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3"/>
  <sheetViews>
    <sheetView showGridLines="0" zoomScaleNormal="100" zoomScalePageLayoutView="125" workbookViewId="0">
      <selection activeCell="E27" sqref="E27"/>
    </sheetView>
  </sheetViews>
  <sheetFormatPr baseColWidth="10" defaultColWidth="10.875" defaultRowHeight="12.75" x14ac:dyDescent="0.2"/>
  <cols>
    <col min="1" max="2" width="3.125" style="1" customWidth="1"/>
    <col min="3" max="3" width="34.375" style="1" customWidth="1"/>
    <col min="4" max="4" width="7.625" style="1" customWidth="1"/>
    <col min="5" max="5" width="7.375" style="1" customWidth="1"/>
    <col min="6" max="7" width="8" style="1" customWidth="1"/>
    <col min="8" max="8" width="9.5" style="1" customWidth="1"/>
    <col min="9" max="11" width="8" style="1" customWidth="1"/>
    <col min="12" max="16384" width="10.875" style="1"/>
  </cols>
  <sheetData>
    <row r="1" spans="1:11" ht="15.75" x14ac:dyDescent="0.25">
      <c r="A1" s="4" t="s">
        <v>19</v>
      </c>
    </row>
    <row r="4" spans="1:11" x14ac:dyDescent="0.2">
      <c r="A4" s="32" t="s">
        <v>69</v>
      </c>
      <c r="B4" s="32"/>
      <c r="C4" s="32"/>
      <c r="D4" s="127">
        <v>40</v>
      </c>
      <c r="E4" s="33" t="s">
        <v>15</v>
      </c>
      <c r="F4" s="7"/>
      <c r="G4" s="7"/>
      <c r="H4" s="7"/>
      <c r="I4" s="7"/>
      <c r="J4" s="7"/>
      <c r="K4" s="7"/>
    </row>
    <row r="5" spans="1:11" x14ac:dyDescent="0.2">
      <c r="A5" s="32" t="s">
        <v>70</v>
      </c>
      <c r="B5" s="32"/>
      <c r="C5" s="32"/>
      <c r="D5" s="127">
        <v>30</v>
      </c>
      <c r="E5" s="33" t="s">
        <v>15</v>
      </c>
      <c r="F5" s="7"/>
      <c r="G5" s="7"/>
      <c r="H5" s="7"/>
      <c r="I5" s="7"/>
      <c r="J5" s="7"/>
      <c r="K5" s="7"/>
    </row>
    <row r="6" spans="1:11" x14ac:dyDescent="0.2">
      <c r="A6" s="32" t="s">
        <v>71</v>
      </c>
      <c r="B6" s="32"/>
      <c r="C6" s="32"/>
      <c r="D6" s="127">
        <v>22</v>
      </c>
      <c r="E6" s="33" t="s">
        <v>15</v>
      </c>
      <c r="F6" s="7"/>
      <c r="G6" s="7"/>
      <c r="H6" s="7"/>
      <c r="I6" s="7"/>
      <c r="J6" s="7"/>
      <c r="K6" s="7"/>
    </row>
    <row r="7" spans="1:11" x14ac:dyDescent="0.2">
      <c r="A7" s="7"/>
      <c r="B7" s="7"/>
      <c r="C7" s="7"/>
      <c r="D7" s="7"/>
      <c r="E7" s="7"/>
      <c r="F7" s="7"/>
      <c r="G7" s="7"/>
      <c r="H7" s="7"/>
      <c r="I7" s="7"/>
      <c r="J7" s="7"/>
      <c r="K7" s="7"/>
    </row>
    <row r="8" spans="1:11" x14ac:dyDescent="0.2">
      <c r="A8" s="32" t="s">
        <v>72</v>
      </c>
      <c r="B8" s="32"/>
      <c r="C8" s="32"/>
      <c r="D8" s="127">
        <v>19</v>
      </c>
      <c r="E8" s="33" t="s">
        <v>15</v>
      </c>
      <c r="F8" s="7"/>
      <c r="G8" s="7"/>
      <c r="H8" s="7"/>
      <c r="I8" s="7"/>
      <c r="J8" s="7"/>
      <c r="K8" s="7"/>
    </row>
    <row r="9" spans="1:11" x14ac:dyDescent="0.2">
      <c r="A9" s="7"/>
      <c r="B9" s="7"/>
      <c r="C9" s="7"/>
      <c r="D9" s="7"/>
      <c r="E9" s="7"/>
      <c r="F9" s="7"/>
      <c r="G9" s="7"/>
      <c r="H9" s="7"/>
      <c r="I9" s="7"/>
      <c r="J9" s="7"/>
      <c r="K9" s="7"/>
    </row>
    <row r="10" spans="1:11" x14ac:dyDescent="0.2">
      <c r="A10" s="32" t="s">
        <v>18</v>
      </c>
      <c r="B10" s="34"/>
      <c r="C10" s="33"/>
      <c r="D10" s="127">
        <v>3</v>
      </c>
      <c r="E10" s="33" t="s">
        <v>3</v>
      </c>
      <c r="F10" s="7"/>
      <c r="G10" s="7"/>
      <c r="H10" s="7"/>
      <c r="I10" s="7"/>
      <c r="J10" s="7"/>
      <c r="K10" s="7"/>
    </row>
    <row r="11" spans="1:11" x14ac:dyDescent="0.2">
      <c r="A11" s="7"/>
      <c r="B11" s="7"/>
      <c r="C11" s="7"/>
      <c r="D11" s="7"/>
      <c r="E11" s="7"/>
      <c r="F11" s="7"/>
      <c r="G11" s="7"/>
      <c r="H11" s="7"/>
      <c r="I11" s="7"/>
      <c r="J11" s="7"/>
      <c r="K11" s="7"/>
    </row>
    <row r="12" spans="1:11" x14ac:dyDescent="0.2">
      <c r="A12" s="35" t="s">
        <v>170</v>
      </c>
      <c r="B12" s="36"/>
      <c r="C12" s="36"/>
      <c r="D12" s="36"/>
      <c r="E12" s="37"/>
      <c r="F12" s="202"/>
      <c r="G12" s="202"/>
      <c r="H12" s="202"/>
      <c r="I12" s="202"/>
      <c r="J12" s="202"/>
      <c r="K12" s="203"/>
    </row>
    <row r="13" spans="1:11" ht="27.75" customHeight="1" x14ac:dyDescent="0.2">
      <c r="A13" s="38"/>
      <c r="B13" s="39"/>
      <c r="C13" s="39"/>
      <c r="D13" s="39"/>
      <c r="E13" s="40"/>
      <c r="F13" s="2" t="s">
        <v>23</v>
      </c>
      <c r="G13" s="2" t="s">
        <v>22</v>
      </c>
      <c r="H13" s="196" t="s">
        <v>73</v>
      </c>
      <c r="I13" s="2" t="s">
        <v>20</v>
      </c>
      <c r="J13" s="2" t="s">
        <v>30</v>
      </c>
      <c r="K13" s="2" t="s">
        <v>1</v>
      </c>
    </row>
    <row r="14" spans="1:11" x14ac:dyDescent="0.2">
      <c r="A14" s="35"/>
      <c r="B14" s="36" t="s">
        <v>24</v>
      </c>
      <c r="C14" s="36"/>
      <c r="D14" s="41"/>
      <c r="E14" s="37"/>
      <c r="F14" s="128">
        <v>0.3</v>
      </c>
      <c r="G14" s="128">
        <v>0.4</v>
      </c>
      <c r="H14" s="128">
        <v>0.15</v>
      </c>
      <c r="I14" s="128">
        <v>0</v>
      </c>
      <c r="J14" s="128">
        <v>0.15</v>
      </c>
      <c r="K14" s="42">
        <f>SUM(F14:J14)</f>
        <v>1</v>
      </c>
    </row>
    <row r="15" spans="1:11" x14ac:dyDescent="0.2">
      <c r="A15" s="43"/>
      <c r="B15" s="6"/>
      <c r="C15" s="44" t="s">
        <v>157</v>
      </c>
      <c r="D15" s="129">
        <v>200000</v>
      </c>
      <c r="E15" s="44" t="s">
        <v>25</v>
      </c>
      <c r="F15" s="98">
        <f t="shared" ref="F15:J20" si="0">$K15*F$14</f>
        <v>3000</v>
      </c>
      <c r="G15" s="98">
        <f t="shared" si="0"/>
        <v>4000</v>
      </c>
      <c r="H15" s="98">
        <f t="shared" si="0"/>
        <v>1500</v>
      </c>
      <c r="I15" s="98">
        <f t="shared" si="0"/>
        <v>0</v>
      </c>
      <c r="J15" s="98">
        <f t="shared" si="0"/>
        <v>1500</v>
      </c>
      <c r="K15" s="98">
        <f>D15/D16</f>
        <v>10000</v>
      </c>
    </row>
    <row r="16" spans="1:11" x14ac:dyDescent="0.2">
      <c r="A16" s="43"/>
      <c r="B16" s="6"/>
      <c r="C16" s="44" t="s">
        <v>26</v>
      </c>
      <c r="D16" s="129">
        <v>20</v>
      </c>
      <c r="E16" s="44" t="s">
        <v>17</v>
      </c>
      <c r="F16" s="99"/>
      <c r="G16" s="99"/>
      <c r="H16" s="99"/>
      <c r="I16" s="99"/>
      <c r="J16" s="99"/>
      <c r="K16" s="99"/>
    </row>
    <row r="17" spans="1:11" x14ac:dyDescent="0.2">
      <c r="A17" s="43"/>
      <c r="B17" s="6"/>
      <c r="C17" s="44" t="s">
        <v>27</v>
      </c>
      <c r="D17" s="129">
        <v>3000</v>
      </c>
      <c r="E17" s="44" t="s">
        <v>16</v>
      </c>
      <c r="F17" s="99">
        <f t="shared" si="0"/>
        <v>900</v>
      </c>
      <c r="G17" s="99">
        <f t="shared" si="0"/>
        <v>1200</v>
      </c>
      <c r="H17" s="99">
        <f t="shared" si="0"/>
        <v>450</v>
      </c>
      <c r="I17" s="99">
        <f t="shared" si="0"/>
        <v>0</v>
      </c>
      <c r="J17" s="99">
        <f t="shared" si="0"/>
        <v>450</v>
      </c>
      <c r="K17" s="100">
        <f>D17</f>
        <v>3000</v>
      </c>
    </row>
    <row r="18" spans="1:11" x14ac:dyDescent="0.2">
      <c r="A18" s="43"/>
      <c r="B18" s="6"/>
      <c r="C18" s="44" t="s">
        <v>28</v>
      </c>
      <c r="D18" s="101">
        <f>D15*D10/100*0.6</f>
        <v>3600</v>
      </c>
      <c r="E18" s="44" t="s">
        <v>16</v>
      </c>
      <c r="F18" s="99">
        <f t="shared" si="0"/>
        <v>1080</v>
      </c>
      <c r="G18" s="99">
        <f t="shared" si="0"/>
        <v>1440</v>
      </c>
      <c r="H18" s="99">
        <f t="shared" si="0"/>
        <v>540</v>
      </c>
      <c r="I18" s="99">
        <f t="shared" si="0"/>
        <v>0</v>
      </c>
      <c r="J18" s="99">
        <f t="shared" si="0"/>
        <v>540</v>
      </c>
      <c r="K18" s="100">
        <f>D18</f>
        <v>3600</v>
      </c>
    </row>
    <row r="19" spans="1:11" x14ac:dyDescent="0.2">
      <c r="A19" s="43"/>
      <c r="B19" s="6"/>
      <c r="C19" s="44" t="s">
        <v>29</v>
      </c>
      <c r="D19" s="129">
        <v>200</v>
      </c>
      <c r="E19" s="44" t="s">
        <v>16</v>
      </c>
      <c r="F19" s="99">
        <f t="shared" si="0"/>
        <v>60</v>
      </c>
      <c r="G19" s="99">
        <f t="shared" si="0"/>
        <v>80</v>
      </c>
      <c r="H19" s="99">
        <f t="shared" si="0"/>
        <v>30</v>
      </c>
      <c r="I19" s="99">
        <f t="shared" si="0"/>
        <v>0</v>
      </c>
      <c r="J19" s="99">
        <f t="shared" si="0"/>
        <v>30</v>
      </c>
      <c r="K19" s="100">
        <f>D19</f>
        <v>200</v>
      </c>
    </row>
    <row r="20" spans="1:11" x14ac:dyDescent="0.2">
      <c r="A20" s="43"/>
      <c r="B20" s="6"/>
      <c r="C20" s="46" t="s">
        <v>21</v>
      </c>
      <c r="D20" s="130">
        <v>500</v>
      </c>
      <c r="E20" s="46" t="s">
        <v>16</v>
      </c>
      <c r="F20" s="99">
        <f t="shared" si="0"/>
        <v>150</v>
      </c>
      <c r="G20" s="99">
        <f t="shared" si="0"/>
        <v>200</v>
      </c>
      <c r="H20" s="99">
        <f t="shared" si="0"/>
        <v>75</v>
      </c>
      <c r="I20" s="99">
        <f t="shared" si="0"/>
        <v>0</v>
      </c>
      <c r="J20" s="99">
        <f>$K20*J$14</f>
        <v>75</v>
      </c>
      <c r="K20" s="100">
        <f>D20</f>
        <v>500</v>
      </c>
    </row>
    <row r="21" spans="1:11" ht="7.5" customHeight="1" x14ac:dyDescent="0.2">
      <c r="A21" s="38"/>
      <c r="B21" s="39"/>
      <c r="C21" s="39"/>
      <c r="D21" s="38"/>
      <c r="E21" s="40"/>
      <c r="F21" s="39"/>
      <c r="G21" s="39"/>
      <c r="H21" s="39"/>
      <c r="I21" s="39"/>
      <c r="J21" s="39"/>
      <c r="K21" s="39"/>
    </row>
    <row r="22" spans="1:11" x14ac:dyDescent="0.2">
      <c r="A22" s="35"/>
      <c r="B22" s="36" t="s">
        <v>31</v>
      </c>
      <c r="C22" s="41"/>
      <c r="D22" s="41"/>
      <c r="E22" s="47"/>
      <c r="F22" s="128">
        <v>0</v>
      </c>
      <c r="G22" s="128">
        <v>0</v>
      </c>
      <c r="H22" s="128">
        <v>0</v>
      </c>
      <c r="I22" s="128">
        <v>0.8</v>
      </c>
      <c r="J22" s="128">
        <v>0.2</v>
      </c>
      <c r="K22" s="42">
        <f>SUM(F22:J22)</f>
        <v>1</v>
      </c>
    </row>
    <row r="23" spans="1:11" x14ac:dyDescent="0.2">
      <c r="A23" s="43"/>
      <c r="B23" s="6"/>
      <c r="C23" s="44" t="s">
        <v>157</v>
      </c>
      <c r="D23" s="129">
        <v>145000</v>
      </c>
      <c r="E23" s="44" t="s">
        <v>25</v>
      </c>
      <c r="F23" s="98">
        <f>$K23*F$22</f>
        <v>0</v>
      </c>
      <c r="G23" s="98">
        <f>$K23*G$22</f>
        <v>0</v>
      </c>
      <c r="H23" s="98">
        <f>$K23*H$22</f>
        <v>0</v>
      </c>
      <c r="I23" s="98">
        <f>$K23*I$22</f>
        <v>5800</v>
      </c>
      <c r="J23" s="98">
        <f>$K23*J$22</f>
        <v>1450</v>
      </c>
      <c r="K23" s="98">
        <f>D23/D24</f>
        <v>7250</v>
      </c>
    </row>
    <row r="24" spans="1:11" x14ac:dyDescent="0.2">
      <c r="A24" s="43"/>
      <c r="B24" s="6"/>
      <c r="C24" s="44" t="s">
        <v>26</v>
      </c>
      <c r="D24" s="129">
        <v>20</v>
      </c>
      <c r="E24" s="44" t="s">
        <v>17</v>
      </c>
      <c r="F24" s="99"/>
      <c r="G24" s="99"/>
      <c r="H24" s="99"/>
      <c r="I24" s="99"/>
      <c r="J24" s="99"/>
      <c r="K24" s="99"/>
    </row>
    <row r="25" spans="1:11" x14ac:dyDescent="0.2">
      <c r="A25" s="43"/>
      <c r="B25" s="6"/>
      <c r="C25" s="44" t="s">
        <v>27</v>
      </c>
      <c r="D25" s="129">
        <v>2200</v>
      </c>
      <c r="E25" s="44" t="s">
        <v>16</v>
      </c>
      <c r="F25" s="99">
        <f t="shared" ref="F25:J28" si="1">$K25*F$22</f>
        <v>0</v>
      </c>
      <c r="G25" s="99">
        <f t="shared" si="1"/>
        <v>0</v>
      </c>
      <c r="H25" s="99">
        <f t="shared" si="1"/>
        <v>0</v>
      </c>
      <c r="I25" s="99">
        <f t="shared" si="1"/>
        <v>1760</v>
      </c>
      <c r="J25" s="99">
        <f t="shared" si="1"/>
        <v>440</v>
      </c>
      <c r="K25" s="100">
        <f>D25</f>
        <v>2200</v>
      </c>
    </row>
    <row r="26" spans="1:11" x14ac:dyDescent="0.2">
      <c r="A26" s="43"/>
      <c r="B26" s="6"/>
      <c r="C26" s="44" t="s">
        <v>28</v>
      </c>
      <c r="D26" s="101">
        <f>D23*0.6*D10/100</f>
        <v>2610</v>
      </c>
      <c r="E26" s="44" t="s">
        <v>16</v>
      </c>
      <c r="F26" s="99">
        <f t="shared" si="1"/>
        <v>0</v>
      </c>
      <c r="G26" s="99">
        <f t="shared" si="1"/>
        <v>0</v>
      </c>
      <c r="H26" s="99">
        <f t="shared" si="1"/>
        <v>0</v>
      </c>
      <c r="I26" s="99">
        <f t="shared" si="1"/>
        <v>2088</v>
      </c>
      <c r="J26" s="99">
        <f t="shared" si="1"/>
        <v>522</v>
      </c>
      <c r="K26" s="100">
        <f>D26</f>
        <v>2610</v>
      </c>
    </row>
    <row r="27" spans="1:11" x14ac:dyDescent="0.2">
      <c r="A27" s="43"/>
      <c r="B27" s="6"/>
      <c r="C27" s="44" t="s">
        <v>29</v>
      </c>
      <c r="D27" s="129">
        <v>145</v>
      </c>
      <c r="E27" s="44" t="s">
        <v>16</v>
      </c>
      <c r="F27" s="99">
        <f t="shared" si="1"/>
        <v>0</v>
      </c>
      <c r="G27" s="99">
        <f t="shared" si="1"/>
        <v>0</v>
      </c>
      <c r="H27" s="99">
        <f t="shared" si="1"/>
        <v>0</v>
      </c>
      <c r="I27" s="99">
        <f t="shared" si="1"/>
        <v>116</v>
      </c>
      <c r="J27" s="99">
        <f t="shared" si="1"/>
        <v>29</v>
      </c>
      <c r="K27" s="100">
        <f>D27</f>
        <v>145</v>
      </c>
    </row>
    <row r="28" spans="1:11" x14ac:dyDescent="0.2">
      <c r="A28" s="38"/>
      <c r="B28" s="39"/>
      <c r="C28" s="48" t="s">
        <v>21</v>
      </c>
      <c r="D28" s="131">
        <v>100</v>
      </c>
      <c r="E28" s="48" t="s">
        <v>16</v>
      </c>
      <c r="F28" s="99">
        <f t="shared" si="1"/>
        <v>0</v>
      </c>
      <c r="G28" s="99">
        <f t="shared" si="1"/>
        <v>0</v>
      </c>
      <c r="H28" s="99">
        <f t="shared" si="1"/>
        <v>0</v>
      </c>
      <c r="I28" s="99">
        <f t="shared" si="1"/>
        <v>80</v>
      </c>
      <c r="J28" s="99">
        <f t="shared" si="1"/>
        <v>20</v>
      </c>
      <c r="K28" s="100">
        <f>D28</f>
        <v>100</v>
      </c>
    </row>
    <row r="30" spans="1:11" x14ac:dyDescent="0.2">
      <c r="A30" s="35" t="s">
        <v>171</v>
      </c>
      <c r="B30" s="182"/>
      <c r="C30" s="182"/>
      <c r="D30" s="182"/>
      <c r="E30" s="182"/>
      <c r="F30" s="202"/>
      <c r="G30" s="202"/>
      <c r="H30" s="202"/>
      <c r="I30" s="202"/>
      <c r="J30" s="202"/>
      <c r="K30" s="203"/>
    </row>
    <row r="31" spans="1:11" ht="36" x14ac:dyDescent="0.2">
      <c r="A31" s="183"/>
      <c r="B31" s="3"/>
      <c r="C31" s="3"/>
      <c r="D31" s="3"/>
      <c r="E31" s="3"/>
      <c r="F31" s="2" t="s">
        <v>23</v>
      </c>
      <c r="G31" s="2" t="s">
        <v>22</v>
      </c>
      <c r="H31" s="2" t="s">
        <v>5</v>
      </c>
      <c r="I31" s="2" t="s">
        <v>20</v>
      </c>
      <c r="J31" s="2" t="s">
        <v>30</v>
      </c>
      <c r="K31" s="2" t="s">
        <v>1</v>
      </c>
    </row>
    <row r="32" spans="1:11" x14ac:dyDescent="0.2">
      <c r="A32" s="184"/>
      <c r="B32" s="194" t="s">
        <v>32</v>
      </c>
      <c r="C32" s="187"/>
      <c r="D32" s="131">
        <v>5000</v>
      </c>
      <c r="E32" s="48" t="s">
        <v>16</v>
      </c>
      <c r="F32" s="185">
        <v>0.05</v>
      </c>
      <c r="G32" s="185">
        <v>0.25</v>
      </c>
      <c r="H32" s="185">
        <v>0.15</v>
      </c>
      <c r="I32" s="185">
        <v>0.4</v>
      </c>
      <c r="J32" s="185">
        <v>0.15</v>
      </c>
      <c r="K32" s="186">
        <f>SUM(F32:J32)</f>
        <v>1</v>
      </c>
    </row>
    <row r="33" spans="6:11" x14ac:dyDescent="0.2">
      <c r="F33" s="188">
        <f>$D$32*F32</f>
        <v>250</v>
      </c>
      <c r="G33" s="188">
        <f>$D$32*G32</f>
        <v>1250</v>
      </c>
      <c r="H33" s="188">
        <f>$D$32*H32</f>
        <v>750</v>
      </c>
      <c r="I33" s="188">
        <f>$D$32*I32</f>
        <v>2000</v>
      </c>
      <c r="J33" s="188">
        <f>$D$32*J32</f>
        <v>750</v>
      </c>
      <c r="K33" s="188">
        <f>SUM(F33:J33)</f>
        <v>5000</v>
      </c>
    </row>
  </sheetData>
  <sheetProtection sheet="1" objects="1" scenarios="1"/>
  <mergeCells count="2">
    <mergeCell ref="F12:K12"/>
    <mergeCell ref="F30:K30"/>
  </mergeCells>
  <pageMargins left="0.70866141732283472" right="0.70866141732283472" top="0.78740157480314965" bottom="0.78740157480314965" header="0.31496062992125984" footer="0.31496062992125984"/>
  <pageSetup paperSize="9" scale="76"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22"/>
  <sheetViews>
    <sheetView showGridLines="0" zoomScale="110" zoomScaleNormal="110" zoomScalePageLayoutView="110" workbookViewId="0">
      <selection activeCell="E6" sqref="E6"/>
    </sheetView>
  </sheetViews>
  <sheetFormatPr baseColWidth="10" defaultColWidth="10.875" defaultRowHeight="12.75" x14ac:dyDescent="0.2"/>
  <cols>
    <col min="1" max="3" width="3.125" style="1" customWidth="1"/>
    <col min="4" max="4" width="26.625" style="1" customWidth="1"/>
    <col min="5" max="6" width="7" style="1" customWidth="1"/>
    <col min="7" max="10" width="5.625" style="1" customWidth="1"/>
    <col min="11" max="11" width="3.875" style="1" customWidth="1"/>
    <col min="12" max="12" width="6.375" style="1" customWidth="1"/>
    <col min="13" max="15" width="5.625" style="1" customWidth="1"/>
    <col min="16" max="16384" width="10.875" style="1"/>
  </cols>
  <sheetData>
    <row r="1" spans="1:16" ht="15.75" x14ac:dyDescent="0.25">
      <c r="A1" s="5" t="s">
        <v>138</v>
      </c>
      <c r="B1" s="3"/>
      <c r="C1" s="3"/>
      <c r="D1" s="3"/>
      <c r="E1" s="179" t="s">
        <v>78</v>
      </c>
      <c r="F1" s="204" t="s">
        <v>40</v>
      </c>
      <c r="G1" s="204"/>
      <c r="H1" s="204"/>
      <c r="I1" s="204"/>
      <c r="J1" s="7"/>
      <c r="K1" s="7"/>
      <c r="L1" s="7"/>
      <c r="M1" s="7"/>
      <c r="N1" s="7"/>
      <c r="O1" s="7"/>
      <c r="P1" s="7"/>
    </row>
    <row r="2" spans="1:16" x14ac:dyDescent="0.2">
      <c r="A2" s="6"/>
      <c r="B2" s="6"/>
      <c r="C2" s="6"/>
      <c r="D2" s="6"/>
      <c r="E2" s="6"/>
      <c r="F2" s="6"/>
      <c r="G2" s="6"/>
      <c r="H2" s="6"/>
      <c r="I2" s="7"/>
      <c r="J2" s="7"/>
      <c r="K2" s="7"/>
      <c r="L2" s="7"/>
      <c r="M2" s="7"/>
      <c r="N2" s="7"/>
      <c r="O2" s="7"/>
      <c r="P2" s="7"/>
    </row>
    <row r="3" spans="1:16" x14ac:dyDescent="0.2">
      <c r="A3" s="8" t="s">
        <v>33</v>
      </c>
      <c r="B3" s="9"/>
      <c r="C3" s="9"/>
      <c r="D3" s="9"/>
      <c r="E3" s="16" t="s">
        <v>34</v>
      </c>
      <c r="F3" s="16" t="s">
        <v>35</v>
      </c>
      <c r="G3" s="9"/>
      <c r="H3" s="9"/>
      <c r="I3" s="15"/>
      <c r="J3" s="15"/>
      <c r="K3" s="15"/>
      <c r="L3" s="65"/>
      <c r="M3" s="9"/>
      <c r="N3" s="7"/>
      <c r="O3" s="7"/>
      <c r="P3" s="7"/>
    </row>
    <row r="4" spans="1:16" x14ac:dyDescent="0.2">
      <c r="A4" s="6"/>
      <c r="B4" s="6" t="s">
        <v>60</v>
      </c>
      <c r="C4" s="6"/>
      <c r="D4" s="6"/>
      <c r="E4" s="132">
        <v>300</v>
      </c>
      <c r="F4" s="6" t="s">
        <v>6</v>
      </c>
      <c r="G4" s="6"/>
      <c r="H4" s="6"/>
      <c r="I4" s="7"/>
      <c r="J4" s="7"/>
      <c r="K4" s="7"/>
      <c r="L4" s="68"/>
      <c r="M4" s="69"/>
      <c r="N4" s="7"/>
      <c r="O4" s="7"/>
      <c r="P4" s="7"/>
    </row>
    <row r="5" spans="1:16" x14ac:dyDescent="0.2">
      <c r="A5" s="6"/>
      <c r="B5" s="6" t="s">
        <v>61</v>
      </c>
      <c r="C5" s="6"/>
      <c r="D5" s="6"/>
      <c r="E5" s="132">
        <v>275</v>
      </c>
      <c r="F5" s="6" t="s">
        <v>6</v>
      </c>
      <c r="G5" s="6"/>
      <c r="H5" s="6"/>
      <c r="I5" s="7"/>
      <c r="J5" s="7"/>
      <c r="K5" s="7"/>
      <c r="L5" s="68"/>
      <c r="M5" s="69"/>
      <c r="N5" s="7"/>
      <c r="O5" s="7"/>
      <c r="P5" s="7"/>
    </row>
    <row r="6" spans="1:16" x14ac:dyDescent="0.2">
      <c r="A6" s="6"/>
      <c r="B6" s="6" t="s">
        <v>62</v>
      </c>
      <c r="C6" s="6"/>
      <c r="D6" s="6"/>
      <c r="E6" s="132">
        <v>70</v>
      </c>
      <c r="F6" s="6" t="s">
        <v>3</v>
      </c>
      <c r="G6" s="6"/>
      <c r="H6" s="6"/>
      <c r="I6" s="7"/>
      <c r="J6" s="7"/>
      <c r="K6" s="7"/>
      <c r="L6" s="68"/>
      <c r="M6" s="69"/>
      <c r="N6" s="7"/>
      <c r="O6" s="7"/>
      <c r="P6" s="7"/>
    </row>
    <row r="7" spans="1:16" x14ac:dyDescent="0.2">
      <c r="A7" s="6"/>
      <c r="B7" s="6"/>
      <c r="C7" s="6"/>
      <c r="D7" s="6"/>
      <c r="E7" s="6"/>
      <c r="F7" s="6"/>
      <c r="G7" s="6"/>
      <c r="H7" s="6"/>
      <c r="I7" s="7"/>
      <c r="J7" s="7"/>
      <c r="K7" s="7"/>
      <c r="L7" s="68"/>
      <c r="M7" s="69"/>
      <c r="N7" s="7"/>
      <c r="O7" s="7"/>
      <c r="P7" s="7"/>
    </row>
    <row r="8" spans="1:16" ht="13.5" customHeight="1" x14ac:dyDescent="0.2">
      <c r="A8" s="8" t="s">
        <v>158</v>
      </c>
      <c r="B8" s="9"/>
      <c r="C8" s="9"/>
      <c r="D8" s="9"/>
      <c r="E8" s="206" t="s">
        <v>36</v>
      </c>
      <c r="F8" s="206"/>
      <c r="G8" s="209" t="s">
        <v>37</v>
      </c>
      <c r="H8" s="210"/>
      <c r="I8" s="211" t="s">
        <v>38</v>
      </c>
      <c r="J8" s="211"/>
      <c r="K8" s="53"/>
      <c r="L8" s="208" t="s">
        <v>25</v>
      </c>
      <c r="M8" s="207"/>
      <c r="N8" s="7"/>
      <c r="O8" s="7"/>
      <c r="P8" s="7"/>
    </row>
    <row r="9" spans="1:16" x14ac:dyDescent="0.2">
      <c r="A9" s="12"/>
      <c r="B9" s="6"/>
      <c r="C9" s="6"/>
      <c r="D9" s="6"/>
      <c r="E9" s="113" t="s">
        <v>7</v>
      </c>
      <c r="F9" s="114" t="s">
        <v>44</v>
      </c>
      <c r="G9" s="118" t="s">
        <v>7</v>
      </c>
      <c r="H9" s="119" t="s">
        <v>44</v>
      </c>
      <c r="I9" s="113" t="s">
        <v>7</v>
      </c>
      <c r="J9" s="114" t="s">
        <v>44</v>
      </c>
      <c r="K9" s="18"/>
      <c r="L9" s="70" t="s">
        <v>1</v>
      </c>
      <c r="M9" s="71" t="s">
        <v>41</v>
      </c>
      <c r="N9" s="7"/>
      <c r="O9" s="7"/>
      <c r="P9" s="7"/>
    </row>
    <row r="10" spans="1:16" x14ac:dyDescent="0.2">
      <c r="A10" s="12"/>
      <c r="B10" s="167" t="s">
        <v>159</v>
      </c>
      <c r="C10" s="45"/>
      <c r="D10" s="45"/>
      <c r="E10" s="115"/>
      <c r="F10" s="116"/>
      <c r="G10" s="120"/>
      <c r="H10" s="121"/>
      <c r="I10" s="115"/>
      <c r="J10" s="116"/>
      <c r="K10" s="62"/>
      <c r="L10" s="72">
        <f>SUM(F11:F13,H11:H13,J11:J13)</f>
        <v>1764</v>
      </c>
      <c r="M10" s="73">
        <f>L10/E5/1000</f>
        <v>6.414545454545454E-3</v>
      </c>
      <c r="N10" s="7"/>
      <c r="O10" s="7"/>
      <c r="P10" s="7"/>
    </row>
    <row r="11" spans="1:16" x14ac:dyDescent="0.2">
      <c r="A11" s="6"/>
      <c r="C11" s="11" t="s">
        <v>20</v>
      </c>
      <c r="D11" s="6"/>
      <c r="E11" s="133">
        <v>4</v>
      </c>
      <c r="F11" s="117">
        <f>E11*'1_Donnees_de_base_Batiments'!D$4</f>
        <v>160</v>
      </c>
      <c r="G11" s="134">
        <v>0</v>
      </c>
      <c r="H11" s="122">
        <f>G11*'1_Donnees_de_base_Batiments'!D$5</f>
        <v>0</v>
      </c>
      <c r="I11" s="133">
        <v>23</v>
      </c>
      <c r="J11" s="117">
        <f>I11*'1_Donnees_de_base_Batiments'!D$6</f>
        <v>506</v>
      </c>
      <c r="K11" s="27"/>
      <c r="L11" s="68"/>
      <c r="M11" s="69"/>
      <c r="N11" s="7"/>
      <c r="O11" s="7"/>
      <c r="P11" s="7"/>
    </row>
    <row r="12" spans="1:16" x14ac:dyDescent="0.2">
      <c r="A12" s="6"/>
      <c r="C12" s="11" t="s">
        <v>172</v>
      </c>
      <c r="D12" s="6"/>
      <c r="E12" s="133">
        <v>5</v>
      </c>
      <c r="F12" s="117">
        <f>E12*'1_Donnees_de_base_Batiments'!D$4</f>
        <v>200</v>
      </c>
      <c r="G12" s="134">
        <v>0</v>
      </c>
      <c r="H12" s="122">
        <f>G12*'1_Donnees_de_base_Batiments'!D$5</f>
        <v>0</v>
      </c>
      <c r="I12" s="133">
        <v>15</v>
      </c>
      <c r="J12" s="117">
        <f>I12*'1_Donnees_de_base_Batiments'!D$6</f>
        <v>330</v>
      </c>
      <c r="K12" s="27"/>
      <c r="L12" s="68"/>
      <c r="M12" s="69"/>
      <c r="N12" s="7"/>
      <c r="O12" s="7"/>
      <c r="P12" s="7"/>
    </row>
    <row r="13" spans="1:16" x14ac:dyDescent="0.2">
      <c r="A13" s="6"/>
      <c r="C13" s="11" t="s">
        <v>59</v>
      </c>
      <c r="D13" s="6"/>
      <c r="E13" s="133">
        <v>1</v>
      </c>
      <c r="F13" s="117">
        <f>E13*'1_Donnees_de_base_Batiments'!D$4</f>
        <v>40</v>
      </c>
      <c r="G13" s="134">
        <v>0</v>
      </c>
      <c r="H13" s="122">
        <f>G13*'1_Donnees_de_base_Batiments'!D$5</f>
        <v>0</v>
      </c>
      <c r="I13" s="133">
        <v>24</v>
      </c>
      <c r="J13" s="117">
        <f>I13*'1_Donnees_de_base_Batiments'!D$6</f>
        <v>528</v>
      </c>
      <c r="K13" s="27"/>
      <c r="L13" s="68"/>
      <c r="M13" s="69"/>
      <c r="N13" s="7"/>
      <c r="O13" s="7"/>
      <c r="P13" s="7"/>
    </row>
    <row r="14" spans="1:16" ht="7.5" customHeight="1" x14ac:dyDescent="0.2">
      <c r="A14" s="6"/>
      <c r="B14" s="6"/>
      <c r="C14" s="6"/>
      <c r="D14" s="6"/>
      <c r="E14" s="6"/>
      <c r="F14" s="6"/>
      <c r="G14" s="6"/>
      <c r="H14" s="6"/>
      <c r="I14" s="7"/>
      <c r="J14" s="7"/>
      <c r="K14" s="7"/>
      <c r="L14" s="68"/>
      <c r="M14" s="69"/>
      <c r="N14" s="7"/>
      <c r="O14" s="7"/>
      <c r="P14" s="7"/>
    </row>
    <row r="15" spans="1:16" ht="12.75" customHeight="1" x14ac:dyDescent="0.2">
      <c r="A15" s="6"/>
      <c r="B15" s="6"/>
      <c r="C15" s="6"/>
      <c r="D15" s="6"/>
      <c r="E15" s="6"/>
      <c r="F15" s="6"/>
      <c r="G15" s="6"/>
      <c r="H15" s="6"/>
      <c r="I15" s="7"/>
      <c r="J15" s="7"/>
      <c r="K15" s="7"/>
      <c r="L15" s="68"/>
      <c r="M15" s="69"/>
      <c r="N15" s="7"/>
      <c r="O15" s="7"/>
      <c r="P15" s="7"/>
    </row>
    <row r="16" spans="1:16" ht="13.15" customHeight="1" x14ac:dyDescent="0.2">
      <c r="A16" s="8" t="s">
        <v>42</v>
      </c>
      <c r="B16" s="9"/>
      <c r="C16" s="9"/>
      <c r="D16" s="9"/>
      <c r="E16" s="212" t="s">
        <v>46</v>
      </c>
      <c r="F16" s="212"/>
      <c r="G16" s="212"/>
      <c r="H16" s="212"/>
      <c r="I16" s="205"/>
      <c r="J16" s="205"/>
      <c r="K16" s="52"/>
      <c r="L16" s="208" t="s">
        <v>25</v>
      </c>
      <c r="M16" s="207"/>
      <c r="N16" s="7"/>
      <c r="O16" s="7"/>
      <c r="P16" s="7"/>
    </row>
    <row r="17" spans="1:16" x14ac:dyDescent="0.2">
      <c r="A17" s="6"/>
      <c r="B17" s="6"/>
      <c r="C17" s="6"/>
      <c r="D17" s="13"/>
      <c r="E17" s="17" t="s">
        <v>7</v>
      </c>
      <c r="F17" s="17" t="s">
        <v>44</v>
      </c>
      <c r="G17" s="6"/>
      <c r="H17" s="6"/>
      <c r="I17" s="7"/>
      <c r="J17" s="7"/>
      <c r="K17" s="7"/>
      <c r="L17" s="70" t="s">
        <v>1</v>
      </c>
      <c r="M17" s="71" t="s">
        <v>41</v>
      </c>
      <c r="N17" s="7"/>
      <c r="O17" s="7"/>
      <c r="P17" s="7"/>
    </row>
    <row r="18" spans="1:16" x14ac:dyDescent="0.2">
      <c r="A18" s="6"/>
      <c r="B18" s="61" t="s">
        <v>139</v>
      </c>
      <c r="C18" s="61"/>
      <c r="D18" s="63"/>
      <c r="E18" s="64"/>
      <c r="F18" s="64"/>
      <c r="G18" s="61"/>
      <c r="H18" s="61"/>
      <c r="I18" s="61"/>
      <c r="J18" s="61"/>
      <c r="K18" s="61"/>
      <c r="L18" s="72">
        <f>SUM(F19:F21)</f>
        <v>1159</v>
      </c>
      <c r="M18" s="73">
        <f>L18/E5/1000</f>
        <v>4.2145454545454552E-3</v>
      </c>
      <c r="N18" s="7"/>
      <c r="O18" s="7"/>
      <c r="P18" s="7"/>
    </row>
    <row r="19" spans="1:16" x14ac:dyDescent="0.2">
      <c r="A19" s="6"/>
      <c r="C19" s="11" t="s">
        <v>20</v>
      </c>
      <c r="D19" s="6"/>
      <c r="E19" s="132">
        <v>21</v>
      </c>
      <c r="F19" s="102">
        <f>E19*'1_Donnees_de_base_Batiments'!D$8</f>
        <v>399</v>
      </c>
      <c r="G19" s="6"/>
      <c r="H19" s="6"/>
      <c r="I19" s="7"/>
      <c r="J19" s="7"/>
      <c r="K19" s="7"/>
      <c r="L19" s="68"/>
      <c r="M19" s="69"/>
      <c r="N19" s="7"/>
      <c r="O19" s="7"/>
      <c r="P19" s="7"/>
    </row>
    <row r="20" spans="1:16" x14ac:dyDescent="0.2">
      <c r="A20" s="6"/>
      <c r="C20" s="11" t="s">
        <v>172</v>
      </c>
      <c r="D20" s="6"/>
      <c r="E20" s="132">
        <v>16</v>
      </c>
      <c r="F20" s="102">
        <f>E20*'1_Donnees_de_base_Batiments'!D$8</f>
        <v>304</v>
      </c>
      <c r="G20" s="6"/>
      <c r="H20" s="6"/>
      <c r="I20" s="7"/>
      <c r="J20" s="7"/>
      <c r="K20" s="7"/>
      <c r="L20" s="68"/>
      <c r="M20" s="69"/>
      <c r="N20" s="7"/>
      <c r="O20" s="7"/>
      <c r="P20" s="7"/>
    </row>
    <row r="21" spans="1:16" x14ac:dyDescent="0.2">
      <c r="A21" s="6"/>
      <c r="C21" s="11" t="s">
        <v>59</v>
      </c>
      <c r="D21" s="6"/>
      <c r="E21" s="132">
        <v>24</v>
      </c>
      <c r="F21" s="102">
        <f>E21*'1_Donnees_de_base_Batiments'!D$8</f>
        <v>456</v>
      </c>
      <c r="G21" s="6"/>
      <c r="H21" s="6"/>
      <c r="I21" s="7"/>
      <c r="J21" s="7"/>
      <c r="K21" s="7"/>
      <c r="L21" s="68"/>
      <c r="M21" s="69"/>
      <c r="N21" s="7"/>
      <c r="O21" s="7"/>
      <c r="P21" s="7"/>
    </row>
    <row r="22" spans="1:16" ht="20.25" customHeight="1" x14ac:dyDescent="0.2">
      <c r="A22" s="6"/>
      <c r="B22" s="6"/>
      <c r="C22" s="6"/>
      <c r="D22" s="6"/>
      <c r="E22" s="6"/>
      <c r="F22" s="6"/>
      <c r="G22" s="6"/>
      <c r="H22" s="6"/>
      <c r="I22" s="7"/>
      <c r="J22" s="7"/>
      <c r="K22" s="7"/>
      <c r="L22" s="68"/>
      <c r="M22" s="69"/>
      <c r="N22" s="7"/>
      <c r="O22" s="7"/>
      <c r="P22" s="7"/>
    </row>
    <row r="23" spans="1:16" ht="14.25" customHeight="1" x14ac:dyDescent="0.2">
      <c r="A23" s="8" t="s">
        <v>43</v>
      </c>
      <c r="B23" s="9"/>
      <c r="C23" s="9"/>
      <c r="D23" s="9"/>
      <c r="E23" s="20" t="s">
        <v>148</v>
      </c>
      <c r="F23" s="20" t="s">
        <v>35</v>
      </c>
      <c r="G23" s="206"/>
      <c r="H23" s="206"/>
      <c r="I23" s="205"/>
      <c r="J23" s="205"/>
      <c r="K23" s="52"/>
      <c r="L23" s="208" t="s">
        <v>25</v>
      </c>
      <c r="M23" s="207"/>
      <c r="N23" s="7"/>
      <c r="O23" s="7"/>
      <c r="P23" s="7"/>
    </row>
    <row r="24" spans="1:16" ht="14.25" customHeight="1" x14ac:dyDescent="0.2">
      <c r="A24" s="10"/>
      <c r="B24" s="11"/>
      <c r="C24" s="11"/>
      <c r="D24" s="11"/>
      <c r="E24" s="22"/>
      <c r="F24" s="22"/>
      <c r="G24" s="23"/>
      <c r="H24" s="23"/>
      <c r="I24" s="24"/>
      <c r="J24" s="24"/>
      <c r="K24" s="24"/>
      <c r="L24" s="70" t="s">
        <v>1</v>
      </c>
      <c r="M24" s="71" t="s">
        <v>41</v>
      </c>
      <c r="N24" s="7"/>
      <c r="O24" s="7"/>
      <c r="P24" s="7"/>
    </row>
    <row r="25" spans="1:16" x14ac:dyDescent="0.2">
      <c r="A25" s="6"/>
      <c r="B25" s="61" t="s">
        <v>54</v>
      </c>
      <c r="C25" s="45"/>
      <c r="D25" s="45"/>
      <c r="E25" s="103">
        <f>SUM('1_Donnees_de_base_Batiments'!I15:I20,'1_Donnees_de_base_Batiments'!I23:I28)</f>
        <v>9844</v>
      </c>
      <c r="F25" s="45" t="s">
        <v>16</v>
      </c>
      <c r="G25" s="45"/>
      <c r="H25" s="45"/>
      <c r="I25" s="45"/>
      <c r="J25" s="45"/>
      <c r="K25" s="45"/>
      <c r="L25" s="72">
        <f>E25*E6/100</f>
        <v>6890.8</v>
      </c>
      <c r="M25" s="73">
        <f>L25/E5/1000</f>
        <v>2.5057454545454546E-2</v>
      </c>
      <c r="N25" s="7"/>
      <c r="O25" s="7"/>
      <c r="P25" s="7"/>
    </row>
    <row r="26" spans="1:16" x14ac:dyDescent="0.2">
      <c r="A26" s="6"/>
      <c r="B26" s="19"/>
      <c r="C26" s="6"/>
      <c r="D26" s="6"/>
      <c r="E26" s="11"/>
      <c r="F26" s="6"/>
      <c r="G26" s="6"/>
      <c r="H26" s="6"/>
      <c r="I26" s="7"/>
      <c r="J26" s="7"/>
      <c r="K26" s="7"/>
      <c r="L26" s="74"/>
      <c r="M26" s="75"/>
      <c r="N26" s="7"/>
      <c r="O26" s="7"/>
      <c r="P26" s="7"/>
    </row>
    <row r="27" spans="1:16" x14ac:dyDescent="0.2">
      <c r="A27" s="6"/>
      <c r="B27" s="61" t="s">
        <v>161</v>
      </c>
      <c r="C27" s="45"/>
      <c r="D27" s="45"/>
      <c r="E27" s="45"/>
      <c r="F27" s="45"/>
      <c r="G27" s="45"/>
      <c r="H27" s="45"/>
      <c r="I27" s="45"/>
      <c r="J27" s="45"/>
      <c r="K27" s="45"/>
      <c r="L27" s="72">
        <f>SUM(E28,E31,E32)*E6/100</f>
        <v>15802.5</v>
      </c>
      <c r="M27" s="73">
        <f>L27/E5/1000</f>
        <v>5.7463636363636363E-2</v>
      </c>
      <c r="N27" s="7"/>
      <c r="O27" s="7"/>
      <c r="P27" s="7"/>
    </row>
    <row r="28" spans="1:16" x14ac:dyDescent="0.2">
      <c r="A28" s="6"/>
      <c r="B28" s="19"/>
      <c r="C28" s="6" t="s">
        <v>49</v>
      </c>
      <c r="D28" s="6"/>
      <c r="E28" s="102">
        <f>E29/E30</f>
        <v>17500</v>
      </c>
      <c r="F28" s="6" t="s">
        <v>16</v>
      </c>
      <c r="G28" s="6"/>
      <c r="H28" s="6"/>
      <c r="I28" s="7"/>
      <c r="J28" s="7"/>
      <c r="K28" s="7"/>
      <c r="L28" s="74"/>
      <c r="M28" s="76"/>
      <c r="N28" s="7"/>
      <c r="O28" s="7"/>
      <c r="P28" s="7"/>
    </row>
    <row r="29" spans="1:16" x14ac:dyDescent="0.2">
      <c r="A29" s="6"/>
      <c r="B29" s="6"/>
      <c r="D29" s="6" t="s">
        <v>142</v>
      </c>
      <c r="E29" s="132">
        <v>175000</v>
      </c>
      <c r="F29" s="6" t="s">
        <v>4</v>
      </c>
      <c r="G29" s="6"/>
      <c r="H29" s="6"/>
      <c r="I29" s="7"/>
      <c r="J29" s="7"/>
      <c r="K29" s="7"/>
      <c r="L29" s="74"/>
      <c r="M29" s="76"/>
      <c r="N29" s="7"/>
      <c r="O29" s="7"/>
      <c r="P29" s="7"/>
    </row>
    <row r="30" spans="1:16" x14ac:dyDescent="0.2">
      <c r="A30" s="6"/>
      <c r="B30" s="6"/>
      <c r="D30" s="6" t="s">
        <v>65</v>
      </c>
      <c r="E30" s="135">
        <v>10</v>
      </c>
      <c r="F30" s="6" t="s">
        <v>17</v>
      </c>
      <c r="G30" s="6"/>
      <c r="H30" s="6"/>
      <c r="I30" s="7"/>
      <c r="J30" s="7"/>
      <c r="K30" s="7"/>
      <c r="L30" s="74"/>
      <c r="M30" s="76"/>
      <c r="N30" s="7"/>
      <c r="O30" s="7"/>
      <c r="P30" s="7"/>
    </row>
    <row r="31" spans="1:16" x14ac:dyDescent="0.2">
      <c r="A31" s="6"/>
      <c r="B31" s="6"/>
      <c r="C31" s="6" t="s">
        <v>140</v>
      </c>
      <c r="D31" s="6"/>
      <c r="E31" s="132">
        <v>3075</v>
      </c>
      <c r="F31" s="6" t="s">
        <v>16</v>
      </c>
      <c r="G31" s="6"/>
      <c r="H31" s="6"/>
      <c r="I31" s="7"/>
      <c r="J31" s="7"/>
      <c r="K31" s="7"/>
      <c r="L31" s="74"/>
      <c r="M31" s="76"/>
      <c r="N31" s="7"/>
      <c r="O31" s="7"/>
      <c r="P31" s="7"/>
    </row>
    <row r="32" spans="1:16" x14ac:dyDescent="0.2">
      <c r="A32" s="6"/>
      <c r="B32" s="6"/>
      <c r="C32" s="6" t="s">
        <v>27</v>
      </c>
      <c r="D32" s="6"/>
      <c r="E32" s="132">
        <v>2000</v>
      </c>
      <c r="F32" s="6" t="s">
        <v>16</v>
      </c>
      <c r="G32" s="6"/>
      <c r="H32" s="6"/>
      <c r="I32" s="7"/>
      <c r="J32" s="7"/>
      <c r="K32" s="7"/>
      <c r="L32" s="74"/>
      <c r="M32" s="76"/>
      <c r="N32" s="7"/>
      <c r="O32" s="7"/>
      <c r="P32" s="7"/>
    </row>
    <row r="33" spans="1:16" x14ac:dyDescent="0.2">
      <c r="A33" s="6"/>
      <c r="B33" s="6"/>
      <c r="C33" s="6"/>
      <c r="D33" s="6"/>
      <c r="E33" s="161"/>
      <c r="F33" s="6"/>
      <c r="G33" s="6"/>
      <c r="H33" s="6"/>
      <c r="I33" s="7"/>
      <c r="J33" s="7"/>
      <c r="K33" s="7"/>
      <c r="L33" s="74"/>
      <c r="M33" s="76"/>
      <c r="N33" s="7"/>
      <c r="O33" s="7"/>
      <c r="P33" s="7"/>
    </row>
    <row r="34" spans="1:16" ht="13.5" customHeight="1" x14ac:dyDescent="0.2">
      <c r="A34" s="8" t="s">
        <v>45</v>
      </c>
      <c r="B34" s="9"/>
      <c r="C34" s="9"/>
      <c r="D34" s="9"/>
      <c r="E34" s="20" t="s">
        <v>148</v>
      </c>
      <c r="F34" s="20" t="s">
        <v>35</v>
      </c>
      <c r="G34" s="206"/>
      <c r="H34" s="206"/>
      <c r="I34" s="207"/>
      <c r="J34" s="207"/>
      <c r="K34" s="150"/>
      <c r="L34" s="208" t="s">
        <v>25</v>
      </c>
      <c r="M34" s="207"/>
      <c r="N34" s="7"/>
      <c r="O34" s="7"/>
      <c r="P34" s="7"/>
    </row>
    <row r="35" spans="1:16" ht="13.5" customHeight="1" x14ac:dyDescent="0.2">
      <c r="A35" s="10"/>
      <c r="B35" s="11"/>
      <c r="C35" s="11"/>
      <c r="D35" s="11"/>
      <c r="E35" s="22"/>
      <c r="F35" s="22"/>
      <c r="G35" s="23"/>
      <c r="H35" s="23"/>
      <c r="I35" s="162"/>
      <c r="J35" s="162"/>
      <c r="K35" s="162"/>
      <c r="L35" s="192" t="s">
        <v>1</v>
      </c>
      <c r="M35" s="193" t="s">
        <v>41</v>
      </c>
      <c r="N35" s="7"/>
      <c r="O35" s="7"/>
      <c r="P35" s="7"/>
    </row>
    <row r="36" spans="1:16" x14ac:dyDescent="0.2">
      <c r="A36" s="6"/>
      <c r="B36" s="61" t="s">
        <v>0</v>
      </c>
      <c r="C36" s="45"/>
      <c r="D36" s="45"/>
      <c r="E36" s="45"/>
      <c r="F36" s="45"/>
      <c r="G36" s="45"/>
      <c r="H36" s="45"/>
      <c r="I36" s="45"/>
      <c r="J36" s="45"/>
      <c r="K36" s="45"/>
      <c r="L36" s="72">
        <f>SUM(E37:E38)*E6/100</f>
        <v>1400</v>
      </c>
      <c r="M36" s="73">
        <f>L36/E5/1000</f>
        <v>5.0909090909090913E-3</v>
      </c>
      <c r="N36" s="7"/>
      <c r="O36" s="7"/>
      <c r="P36" s="7"/>
    </row>
    <row r="37" spans="1:16" x14ac:dyDescent="0.2">
      <c r="A37" s="6"/>
      <c r="B37" s="6"/>
      <c r="C37" s="6" t="s">
        <v>47</v>
      </c>
      <c r="D37" s="6"/>
      <c r="E37" s="189">
        <f>'1_Donnees_de_base_Batiments'!I33</f>
        <v>2000</v>
      </c>
      <c r="F37" s="6" t="s">
        <v>16</v>
      </c>
      <c r="G37" s="6"/>
      <c r="H37" s="6"/>
      <c r="I37" s="7"/>
      <c r="J37" s="7"/>
      <c r="K37" s="7"/>
      <c r="L37" s="74"/>
      <c r="M37" s="76"/>
      <c r="N37" s="7"/>
      <c r="O37" s="7"/>
      <c r="P37" s="7"/>
    </row>
    <row r="38" spans="1:16" x14ac:dyDescent="0.2">
      <c r="A38" s="6"/>
      <c r="B38" s="6"/>
      <c r="C38" s="6" t="s">
        <v>48</v>
      </c>
      <c r="D38" s="6"/>
      <c r="E38" s="132">
        <v>0</v>
      </c>
      <c r="F38" s="6" t="s">
        <v>16</v>
      </c>
      <c r="G38" s="6"/>
      <c r="H38" s="6"/>
      <c r="I38" s="7"/>
      <c r="J38" s="7"/>
      <c r="K38" s="7"/>
      <c r="L38" s="74"/>
      <c r="M38" s="76"/>
      <c r="N38" s="7"/>
      <c r="O38" s="7"/>
      <c r="P38" s="7"/>
    </row>
    <row r="39" spans="1:16" x14ac:dyDescent="0.2">
      <c r="A39" s="6"/>
      <c r="B39" s="6"/>
      <c r="C39" s="6"/>
      <c r="D39" s="6"/>
      <c r="E39" s="6"/>
      <c r="F39" s="6"/>
      <c r="G39" s="6"/>
      <c r="H39" s="6"/>
      <c r="I39" s="7"/>
      <c r="J39" s="7"/>
      <c r="K39" s="7"/>
      <c r="L39" s="74"/>
      <c r="M39" s="76"/>
      <c r="N39" s="7"/>
      <c r="O39" s="7"/>
      <c r="P39" s="7"/>
    </row>
    <row r="40" spans="1:16" x14ac:dyDescent="0.2">
      <c r="A40" s="6"/>
      <c r="B40" s="61" t="s">
        <v>53</v>
      </c>
      <c r="C40" s="45"/>
      <c r="D40" s="45"/>
      <c r="E40" s="45"/>
      <c r="F40" s="45"/>
      <c r="G40" s="45"/>
      <c r="H40" s="45"/>
      <c r="I40" s="45"/>
      <c r="J40" s="45"/>
      <c r="K40" s="45"/>
      <c r="L40" s="72">
        <f>SUM(E41,E44,E45)*E6/100</f>
        <v>4147.5</v>
      </c>
      <c r="M40" s="73">
        <f>L40/E5/1000</f>
        <v>1.5081818181818182E-2</v>
      </c>
      <c r="N40" s="7"/>
      <c r="O40" s="7"/>
      <c r="P40" s="7"/>
    </row>
    <row r="41" spans="1:16" x14ac:dyDescent="0.2">
      <c r="A41" s="6"/>
      <c r="B41" s="19"/>
      <c r="C41" s="6" t="s">
        <v>49</v>
      </c>
      <c r="D41" s="6"/>
      <c r="E41" s="102">
        <f>E42/E43</f>
        <v>5625</v>
      </c>
      <c r="F41" s="6" t="s">
        <v>16</v>
      </c>
      <c r="G41" s="6"/>
      <c r="H41" s="6"/>
      <c r="I41" s="7"/>
      <c r="J41" s="7"/>
      <c r="K41" s="7"/>
      <c r="L41" s="74"/>
      <c r="M41" s="76"/>
      <c r="N41" s="7"/>
      <c r="O41" s="7"/>
      <c r="P41" s="7"/>
    </row>
    <row r="42" spans="1:16" x14ac:dyDescent="0.2">
      <c r="A42" s="6"/>
      <c r="B42" s="6"/>
      <c r="D42" s="6" t="s">
        <v>141</v>
      </c>
      <c r="E42" s="132">
        <v>45000</v>
      </c>
      <c r="F42" s="6" t="s">
        <v>25</v>
      </c>
      <c r="G42" s="6"/>
      <c r="H42" s="6"/>
      <c r="I42" s="7"/>
      <c r="J42" s="7"/>
      <c r="K42" s="7"/>
      <c r="L42" s="74"/>
      <c r="M42" s="76"/>
      <c r="N42" s="7"/>
      <c r="O42" s="7"/>
      <c r="P42" s="7"/>
    </row>
    <row r="43" spans="1:16" x14ac:dyDescent="0.2">
      <c r="A43" s="6"/>
      <c r="B43" s="6"/>
      <c r="D43" s="6" t="s">
        <v>26</v>
      </c>
      <c r="E43" s="135">
        <v>8</v>
      </c>
      <c r="F43" s="6" t="s">
        <v>17</v>
      </c>
      <c r="G43" s="6"/>
      <c r="H43" s="6"/>
      <c r="I43" s="7"/>
      <c r="J43" s="7"/>
      <c r="K43" s="7"/>
      <c r="L43" s="74"/>
      <c r="M43" s="76"/>
      <c r="N43" s="7"/>
      <c r="O43" s="7"/>
      <c r="P43" s="7"/>
    </row>
    <row r="44" spans="1:16" x14ac:dyDescent="0.2">
      <c r="A44" s="6"/>
      <c r="B44" s="6"/>
      <c r="C44" s="6" t="s">
        <v>51</v>
      </c>
      <c r="D44" s="6"/>
      <c r="E44" s="132">
        <v>200</v>
      </c>
      <c r="F44" s="6" t="s">
        <v>16</v>
      </c>
      <c r="G44" s="6"/>
      <c r="H44" s="6"/>
      <c r="I44" s="7"/>
      <c r="J44" s="7"/>
      <c r="K44" s="7"/>
      <c r="L44" s="74"/>
      <c r="M44" s="76"/>
      <c r="N44" s="7"/>
      <c r="O44" s="7"/>
      <c r="P44" s="7"/>
    </row>
    <row r="45" spans="1:16" x14ac:dyDescent="0.2">
      <c r="A45" s="6"/>
      <c r="B45" s="6"/>
      <c r="C45" s="6" t="s">
        <v>52</v>
      </c>
      <c r="D45" s="6"/>
      <c r="E45" s="132">
        <v>100</v>
      </c>
      <c r="F45" s="6" t="s">
        <v>16</v>
      </c>
      <c r="G45" s="6"/>
      <c r="H45" s="6"/>
      <c r="I45" s="7"/>
      <c r="J45" s="7"/>
      <c r="K45" s="7"/>
      <c r="L45" s="74"/>
      <c r="M45" s="76"/>
      <c r="N45" s="7"/>
      <c r="O45" s="7"/>
      <c r="P45" s="7"/>
    </row>
    <row r="46" spans="1:16" x14ac:dyDescent="0.2">
      <c r="A46" s="6"/>
      <c r="B46" s="6"/>
      <c r="C46" s="6"/>
      <c r="D46" s="6"/>
      <c r="E46" s="6"/>
      <c r="F46" s="6"/>
      <c r="G46" s="6"/>
      <c r="H46" s="6"/>
      <c r="I46" s="7"/>
      <c r="J46" s="7"/>
      <c r="K46" s="7"/>
      <c r="L46" s="74"/>
      <c r="M46" s="76"/>
      <c r="N46" s="7"/>
      <c r="O46" s="7"/>
      <c r="P46" s="7"/>
    </row>
    <row r="47" spans="1:16" x14ac:dyDescent="0.2">
      <c r="A47" s="6"/>
      <c r="B47" s="61" t="s">
        <v>91</v>
      </c>
      <c r="C47" s="45"/>
      <c r="D47" s="45"/>
      <c r="E47" s="45"/>
      <c r="F47" s="45"/>
      <c r="G47" s="45"/>
      <c r="H47" s="45"/>
      <c r="I47" s="45"/>
      <c r="J47" s="45"/>
      <c r="K47" s="45"/>
      <c r="L47" s="72">
        <f>SUM(E48:E49,E51)</f>
        <v>6484.5</v>
      </c>
      <c r="M47" s="73">
        <f>L47/E5/1000</f>
        <v>2.3579999999999997E-2</v>
      </c>
      <c r="N47" s="7"/>
      <c r="O47" s="7"/>
      <c r="P47" s="7"/>
    </row>
    <row r="48" spans="1:16" x14ac:dyDescent="0.2">
      <c r="A48" s="6"/>
      <c r="B48" s="6"/>
      <c r="C48" s="6" t="s">
        <v>143</v>
      </c>
      <c r="D48" s="6"/>
      <c r="E48" s="102">
        <f>E29*0.6*'1_Donnees_de_base_Batiments'!D10/100*E6/100</f>
        <v>2205</v>
      </c>
      <c r="F48" s="6" t="s">
        <v>16</v>
      </c>
      <c r="G48" s="6"/>
      <c r="H48" s="6"/>
      <c r="I48" s="7"/>
      <c r="J48" s="7"/>
      <c r="K48" s="7"/>
      <c r="L48" s="74"/>
      <c r="M48" s="76"/>
      <c r="N48" s="7"/>
      <c r="O48" s="7"/>
      <c r="P48" s="7"/>
    </row>
    <row r="49" spans="1:16" x14ac:dyDescent="0.2">
      <c r="A49" s="6"/>
      <c r="B49" s="6"/>
      <c r="C49" s="6" t="s">
        <v>144</v>
      </c>
      <c r="D49" s="6"/>
      <c r="E49" s="102">
        <f>E5*1000*E50*'1_Donnees_de_base_Batiments'!D10/100</f>
        <v>3712.5</v>
      </c>
      <c r="F49" s="6" t="s">
        <v>16</v>
      </c>
      <c r="G49" s="6"/>
      <c r="H49" s="6"/>
      <c r="I49" s="7"/>
      <c r="J49" s="7"/>
      <c r="K49" s="7"/>
      <c r="L49" s="74"/>
      <c r="M49" s="76"/>
      <c r="N49" s="7"/>
      <c r="O49" s="7"/>
      <c r="P49" s="7"/>
    </row>
    <row r="50" spans="1:16" x14ac:dyDescent="0.2">
      <c r="A50" s="6"/>
      <c r="B50" s="6"/>
      <c r="C50" s="6"/>
      <c r="D50" s="6" t="s">
        <v>55</v>
      </c>
      <c r="E50" s="135">
        <v>0.45</v>
      </c>
      <c r="F50" s="6" t="s">
        <v>50</v>
      </c>
      <c r="G50" s="6"/>
      <c r="H50" s="6"/>
      <c r="I50" s="7"/>
      <c r="J50" s="7"/>
      <c r="K50" s="7"/>
      <c r="L50" s="74"/>
      <c r="M50" s="76"/>
      <c r="N50" s="7"/>
      <c r="O50" s="7"/>
      <c r="P50" s="7"/>
    </row>
    <row r="51" spans="1:16" x14ac:dyDescent="0.2">
      <c r="A51" s="6"/>
      <c r="B51" s="6"/>
      <c r="C51" s="6" t="s">
        <v>145</v>
      </c>
      <c r="D51" s="6"/>
      <c r="E51" s="102">
        <f>E42*0.6*'1_Donnees_de_base_Batiments'!D10/100*E6/100</f>
        <v>567</v>
      </c>
      <c r="F51" s="6" t="s">
        <v>16</v>
      </c>
      <c r="G51" s="6"/>
      <c r="H51" s="6"/>
      <c r="I51" s="7"/>
      <c r="J51" s="7"/>
      <c r="K51" s="7"/>
      <c r="L51" s="74"/>
      <c r="M51" s="76"/>
      <c r="N51" s="7"/>
      <c r="O51" s="7"/>
      <c r="P51" s="7"/>
    </row>
    <row r="52" spans="1:16" x14ac:dyDescent="0.2">
      <c r="A52" s="6"/>
      <c r="B52" s="6"/>
      <c r="C52" s="6"/>
      <c r="D52" s="6"/>
      <c r="E52" s="6"/>
      <c r="F52" s="6"/>
      <c r="G52" s="6"/>
      <c r="H52" s="6"/>
      <c r="I52" s="7"/>
      <c r="J52" s="7"/>
      <c r="K52" s="7"/>
      <c r="L52" s="74"/>
      <c r="M52" s="76"/>
      <c r="N52" s="7"/>
      <c r="O52" s="7"/>
      <c r="P52" s="7"/>
    </row>
    <row r="53" spans="1:16" x14ac:dyDescent="0.2">
      <c r="A53" s="6"/>
      <c r="B53" s="61" t="s">
        <v>56</v>
      </c>
      <c r="C53" s="45"/>
      <c r="D53" s="45"/>
      <c r="E53" s="45"/>
      <c r="F53" s="45"/>
      <c r="G53" s="45"/>
      <c r="H53" s="45"/>
      <c r="I53" s="45"/>
      <c r="J53" s="45"/>
      <c r="K53" s="45"/>
      <c r="L53" s="72">
        <f>SUM(E54:E56)*E6/100</f>
        <v>210</v>
      </c>
      <c r="M53" s="73">
        <f>L53/E5/1000</f>
        <v>7.6363636363636369E-4</v>
      </c>
      <c r="N53" s="7"/>
      <c r="O53" s="7"/>
      <c r="P53" s="7"/>
    </row>
    <row r="54" spans="1:16" x14ac:dyDescent="0.2">
      <c r="A54" s="6"/>
      <c r="B54" s="6"/>
      <c r="C54" s="6" t="s">
        <v>57</v>
      </c>
      <c r="D54" s="6"/>
      <c r="E54" s="132">
        <v>200</v>
      </c>
      <c r="F54" s="6" t="s">
        <v>16</v>
      </c>
      <c r="G54" s="6"/>
      <c r="H54" s="6"/>
      <c r="I54" s="7"/>
      <c r="J54" s="7"/>
      <c r="K54" s="7"/>
      <c r="L54" s="74"/>
      <c r="M54" s="75"/>
      <c r="N54" s="7"/>
      <c r="O54" s="7"/>
      <c r="P54" s="7"/>
    </row>
    <row r="55" spans="1:16" x14ac:dyDescent="0.2">
      <c r="A55" s="6"/>
      <c r="B55" s="6"/>
      <c r="C55" s="6" t="s">
        <v>58</v>
      </c>
      <c r="D55" s="6"/>
      <c r="E55" s="132">
        <v>0</v>
      </c>
      <c r="F55" s="6" t="s">
        <v>16</v>
      </c>
      <c r="G55" s="6"/>
      <c r="H55" s="6"/>
      <c r="I55" s="7"/>
      <c r="J55" s="7"/>
      <c r="K55" s="7"/>
      <c r="L55" s="74"/>
      <c r="M55" s="75"/>
      <c r="N55" s="7"/>
      <c r="O55" s="7"/>
      <c r="P55" s="7"/>
    </row>
    <row r="56" spans="1:16" x14ac:dyDescent="0.2">
      <c r="A56" s="6"/>
      <c r="B56" s="6"/>
      <c r="C56" s="6" t="s">
        <v>21</v>
      </c>
      <c r="D56" s="6"/>
      <c r="E56" s="132">
        <v>100</v>
      </c>
      <c r="F56" s="6" t="s">
        <v>16</v>
      </c>
      <c r="G56" s="6"/>
      <c r="H56" s="6"/>
      <c r="I56" s="7"/>
      <c r="J56" s="7"/>
      <c r="K56" s="7"/>
      <c r="L56" s="74"/>
      <c r="M56" s="75"/>
      <c r="N56" s="7"/>
      <c r="O56" s="7"/>
      <c r="P56" s="7"/>
    </row>
    <row r="57" spans="1:16" x14ac:dyDescent="0.2">
      <c r="A57" s="6"/>
      <c r="B57" s="6"/>
      <c r="C57" s="6"/>
      <c r="D57" s="6"/>
      <c r="E57" s="6"/>
      <c r="F57" s="6"/>
      <c r="G57" s="6"/>
      <c r="H57" s="6"/>
      <c r="I57" s="7"/>
      <c r="J57" s="7"/>
      <c r="K57" s="7"/>
      <c r="L57" s="192" t="s">
        <v>1</v>
      </c>
      <c r="M57" s="193" t="s">
        <v>41</v>
      </c>
      <c r="N57" s="7"/>
      <c r="O57" s="7"/>
      <c r="P57" s="7"/>
    </row>
    <row r="58" spans="1:16" x14ac:dyDescent="0.2">
      <c r="A58" s="25" t="s">
        <v>138</v>
      </c>
      <c r="B58" s="14"/>
      <c r="C58" s="14"/>
      <c r="D58" s="14"/>
      <c r="E58" s="14"/>
      <c r="F58" s="14"/>
      <c r="G58" s="14"/>
      <c r="H58" s="14"/>
      <c r="I58" s="14"/>
      <c r="J58" s="14"/>
      <c r="K58" s="14"/>
      <c r="L58" s="77">
        <f>SUM(L53,L47,L40,L36,L27,L25,L18,L10)</f>
        <v>37858.300000000003</v>
      </c>
      <c r="M58" s="78">
        <f>SUM(M10,M18,M25,M27,M36,M40,M47,M53)</f>
        <v>0.13766654545454546</v>
      </c>
      <c r="N58" s="7"/>
      <c r="O58" s="7"/>
      <c r="P58" s="7"/>
    </row>
    <row r="59" spans="1:16" x14ac:dyDescent="0.2">
      <c r="A59" s="7"/>
      <c r="B59" s="7"/>
      <c r="C59" s="7"/>
      <c r="D59" s="7"/>
      <c r="E59" s="7"/>
      <c r="F59" s="7"/>
      <c r="G59" s="7"/>
      <c r="H59" s="7"/>
      <c r="I59" s="7"/>
      <c r="J59" s="7"/>
      <c r="K59" s="7"/>
      <c r="L59" s="7"/>
      <c r="M59" s="7"/>
      <c r="N59" s="7"/>
      <c r="O59" s="7"/>
      <c r="P59" s="7"/>
    </row>
    <row r="60" spans="1:16" x14ac:dyDescent="0.2">
      <c r="A60" s="7"/>
      <c r="B60" s="7"/>
      <c r="C60" s="7"/>
      <c r="D60" s="7"/>
      <c r="E60" s="7"/>
      <c r="F60" s="7"/>
      <c r="G60" s="7"/>
      <c r="H60" s="7"/>
      <c r="I60" s="7"/>
      <c r="J60" s="7"/>
      <c r="K60" s="7"/>
      <c r="L60" s="7"/>
      <c r="M60" s="7"/>
      <c r="N60" s="7"/>
      <c r="O60" s="7"/>
      <c r="P60" s="7"/>
    </row>
    <row r="61" spans="1:16" x14ac:dyDescent="0.2">
      <c r="A61" s="7"/>
      <c r="B61" s="7"/>
      <c r="C61" s="7"/>
      <c r="D61" s="7"/>
      <c r="E61" s="7"/>
      <c r="F61" s="7"/>
      <c r="G61" s="7"/>
      <c r="H61" s="7"/>
      <c r="I61" s="7"/>
      <c r="J61" s="7"/>
      <c r="K61" s="7"/>
      <c r="L61" s="7"/>
      <c r="M61" s="7"/>
      <c r="N61" s="7"/>
      <c r="O61" s="7"/>
      <c r="P61" s="7"/>
    </row>
    <row r="62" spans="1:16" x14ac:dyDescent="0.2">
      <c r="A62" s="7"/>
      <c r="B62" s="7"/>
      <c r="C62" s="7"/>
      <c r="D62" s="7"/>
      <c r="E62" s="7"/>
      <c r="F62" s="7"/>
      <c r="G62" s="7"/>
      <c r="H62" s="7"/>
      <c r="I62" s="7"/>
      <c r="J62" s="7"/>
      <c r="K62" s="7"/>
      <c r="L62" s="7"/>
      <c r="M62" s="7"/>
      <c r="N62" s="7"/>
      <c r="O62" s="7"/>
      <c r="P62" s="7"/>
    </row>
    <row r="63" spans="1:16" x14ac:dyDescent="0.2">
      <c r="A63" s="7"/>
      <c r="B63" s="7"/>
      <c r="C63" s="7"/>
      <c r="D63" s="7"/>
      <c r="E63" s="7"/>
      <c r="F63" s="7"/>
      <c r="G63" s="7"/>
      <c r="H63" s="7"/>
      <c r="I63" s="7"/>
      <c r="J63" s="7"/>
      <c r="K63" s="7"/>
      <c r="L63" s="7"/>
      <c r="M63" s="7"/>
      <c r="N63" s="7"/>
      <c r="O63" s="7"/>
      <c r="P63" s="7"/>
    </row>
    <row r="64" spans="1:16" x14ac:dyDescent="0.2">
      <c r="A64" s="7"/>
      <c r="B64" s="7"/>
      <c r="C64" s="7"/>
      <c r="D64" s="7"/>
      <c r="E64" s="7"/>
      <c r="F64" s="7"/>
      <c r="G64" s="7"/>
      <c r="H64" s="7"/>
      <c r="I64" s="7"/>
      <c r="J64" s="7"/>
      <c r="K64" s="7"/>
      <c r="L64" s="7"/>
      <c r="M64" s="7"/>
      <c r="N64" s="7"/>
      <c r="O64" s="7"/>
      <c r="P64" s="7"/>
    </row>
    <row r="65" spans="1:16" x14ac:dyDescent="0.2">
      <c r="A65" s="7"/>
      <c r="B65" s="7"/>
      <c r="C65" s="7"/>
      <c r="D65" s="7"/>
      <c r="E65" s="7"/>
      <c r="F65" s="7"/>
      <c r="G65" s="7"/>
      <c r="H65" s="7"/>
      <c r="I65" s="7"/>
      <c r="J65" s="7"/>
      <c r="K65" s="7"/>
      <c r="L65" s="7"/>
      <c r="M65" s="7"/>
      <c r="N65" s="7"/>
      <c r="O65" s="7"/>
      <c r="P65" s="7"/>
    </row>
    <row r="66" spans="1:16" x14ac:dyDescent="0.2">
      <c r="A66" s="7"/>
      <c r="B66" s="7"/>
      <c r="C66" s="7"/>
      <c r="D66" s="7"/>
      <c r="E66" s="7"/>
      <c r="F66" s="7"/>
      <c r="G66" s="7"/>
      <c r="H66" s="7"/>
      <c r="I66" s="7"/>
      <c r="J66" s="7"/>
      <c r="K66" s="7"/>
      <c r="L66" s="7"/>
      <c r="M66" s="7"/>
      <c r="N66" s="7"/>
      <c r="O66" s="7"/>
      <c r="P66" s="7"/>
    </row>
    <row r="67" spans="1:16" x14ac:dyDescent="0.2">
      <c r="A67" s="7"/>
      <c r="B67" s="7"/>
      <c r="C67" s="7"/>
      <c r="D67" s="7"/>
      <c r="E67" s="7"/>
      <c r="F67" s="7"/>
      <c r="G67" s="7"/>
      <c r="H67" s="7"/>
      <c r="I67" s="7"/>
      <c r="J67" s="7"/>
      <c r="K67" s="7"/>
      <c r="L67" s="7"/>
      <c r="M67" s="7"/>
      <c r="N67" s="7"/>
      <c r="O67" s="7"/>
      <c r="P67" s="7"/>
    </row>
    <row r="68" spans="1:16" x14ac:dyDescent="0.2">
      <c r="A68" s="7"/>
      <c r="B68" s="7"/>
      <c r="C68" s="7"/>
      <c r="D68" s="7"/>
      <c r="E68" s="7"/>
      <c r="F68" s="7"/>
      <c r="G68" s="7"/>
      <c r="H68" s="7"/>
      <c r="I68" s="7"/>
      <c r="J68" s="7"/>
      <c r="K68" s="7"/>
      <c r="L68" s="7"/>
      <c r="M68" s="7"/>
      <c r="N68" s="7"/>
      <c r="O68" s="7"/>
      <c r="P68" s="7"/>
    </row>
    <row r="69" spans="1:16" x14ac:dyDescent="0.2">
      <c r="A69" s="7"/>
      <c r="B69" s="7"/>
      <c r="C69" s="7"/>
      <c r="D69" s="7"/>
      <c r="E69" s="7"/>
      <c r="F69" s="7"/>
      <c r="G69" s="7"/>
      <c r="H69" s="7"/>
      <c r="I69" s="7"/>
      <c r="J69" s="7"/>
      <c r="K69" s="7"/>
      <c r="L69" s="7"/>
      <c r="M69" s="7"/>
      <c r="N69" s="7"/>
      <c r="O69" s="7"/>
      <c r="P69" s="7"/>
    </row>
    <row r="70" spans="1:16" x14ac:dyDescent="0.2">
      <c r="A70" s="7"/>
      <c r="B70" s="7"/>
      <c r="C70" s="7"/>
      <c r="D70" s="7"/>
      <c r="E70" s="7"/>
      <c r="F70" s="7"/>
      <c r="G70" s="7"/>
      <c r="H70" s="7"/>
      <c r="I70" s="7"/>
      <c r="J70" s="7"/>
      <c r="K70" s="7"/>
      <c r="L70" s="7"/>
      <c r="M70" s="7"/>
      <c r="N70" s="7"/>
      <c r="O70" s="7"/>
      <c r="P70" s="7"/>
    </row>
    <row r="71" spans="1:16" x14ac:dyDescent="0.2">
      <c r="A71" s="7"/>
      <c r="B71" s="7"/>
      <c r="C71" s="7"/>
      <c r="D71" s="7"/>
      <c r="E71" s="7"/>
      <c r="F71" s="7"/>
      <c r="G71" s="7"/>
      <c r="H71" s="7"/>
      <c r="I71" s="7"/>
      <c r="J71" s="7"/>
      <c r="K71" s="7"/>
      <c r="L71" s="7"/>
      <c r="M71" s="7"/>
      <c r="N71" s="7"/>
      <c r="O71" s="7"/>
      <c r="P71" s="7"/>
    </row>
    <row r="72" spans="1:16" x14ac:dyDescent="0.2">
      <c r="A72" s="7"/>
      <c r="B72" s="7"/>
      <c r="C72" s="7"/>
      <c r="D72" s="7"/>
      <c r="E72" s="7"/>
      <c r="F72" s="7"/>
      <c r="G72" s="7"/>
      <c r="H72" s="7"/>
      <c r="I72" s="7"/>
      <c r="J72" s="7"/>
      <c r="K72" s="7"/>
      <c r="L72" s="7"/>
      <c r="M72" s="7"/>
      <c r="N72" s="7"/>
      <c r="O72" s="7"/>
      <c r="P72" s="7"/>
    </row>
    <row r="73" spans="1:16" x14ac:dyDescent="0.2">
      <c r="A73" s="7"/>
      <c r="B73" s="7"/>
      <c r="C73" s="7"/>
      <c r="D73" s="7"/>
      <c r="E73" s="7"/>
      <c r="F73" s="7"/>
      <c r="G73" s="7"/>
      <c r="H73" s="7"/>
      <c r="I73" s="7"/>
      <c r="J73" s="7"/>
      <c r="K73" s="7"/>
      <c r="L73" s="7"/>
      <c r="M73" s="7"/>
      <c r="N73" s="7"/>
      <c r="O73" s="7"/>
      <c r="P73" s="7"/>
    </row>
    <row r="74" spans="1:16" x14ac:dyDescent="0.2">
      <c r="A74" s="7"/>
      <c r="B74" s="7"/>
      <c r="C74" s="7"/>
      <c r="D74" s="7"/>
      <c r="E74" s="7"/>
      <c r="F74" s="7"/>
      <c r="G74" s="7"/>
      <c r="H74" s="7"/>
      <c r="I74" s="7"/>
      <c r="J74" s="7"/>
      <c r="K74" s="7"/>
      <c r="L74" s="7"/>
      <c r="M74" s="7"/>
      <c r="N74" s="7"/>
      <c r="O74" s="7"/>
      <c r="P74" s="7"/>
    </row>
    <row r="75" spans="1:16" x14ac:dyDescent="0.2">
      <c r="A75" s="7"/>
      <c r="B75" s="7"/>
      <c r="C75" s="7"/>
      <c r="D75" s="7"/>
      <c r="E75" s="7"/>
      <c r="F75" s="7"/>
      <c r="G75" s="7"/>
      <c r="H75" s="7"/>
      <c r="I75" s="7"/>
      <c r="J75" s="7"/>
      <c r="K75" s="7"/>
      <c r="L75" s="7"/>
      <c r="M75" s="7"/>
      <c r="N75" s="7"/>
      <c r="O75" s="7"/>
      <c r="P75" s="7"/>
    </row>
    <row r="76" spans="1:16" x14ac:dyDescent="0.2">
      <c r="A76" s="7"/>
      <c r="B76" s="7"/>
      <c r="C76" s="7"/>
      <c r="D76" s="7"/>
      <c r="E76" s="7"/>
      <c r="F76" s="7"/>
      <c r="G76" s="7"/>
      <c r="H76" s="7"/>
      <c r="I76" s="7"/>
      <c r="J76" s="7"/>
      <c r="K76" s="7"/>
      <c r="L76" s="7"/>
      <c r="M76" s="7"/>
      <c r="N76" s="7"/>
      <c r="O76" s="7"/>
      <c r="P76" s="7"/>
    </row>
    <row r="77" spans="1:16" x14ac:dyDescent="0.2">
      <c r="A77" s="7"/>
      <c r="B77" s="7"/>
      <c r="C77" s="7"/>
      <c r="D77" s="7"/>
      <c r="E77" s="7"/>
      <c r="F77" s="7"/>
      <c r="G77" s="7"/>
      <c r="H77" s="7"/>
      <c r="I77" s="7"/>
      <c r="J77" s="7"/>
      <c r="K77" s="7"/>
      <c r="L77" s="7"/>
      <c r="M77" s="7"/>
      <c r="N77" s="7"/>
      <c r="O77" s="7"/>
      <c r="P77" s="7"/>
    </row>
    <row r="78" spans="1:16" x14ac:dyDescent="0.2">
      <c r="A78" s="7"/>
      <c r="B78" s="7"/>
      <c r="C78" s="7"/>
      <c r="D78" s="7"/>
      <c r="E78" s="7"/>
      <c r="F78" s="7"/>
      <c r="G78" s="7"/>
      <c r="H78" s="7"/>
      <c r="I78" s="7"/>
      <c r="J78" s="7"/>
      <c r="K78" s="7"/>
      <c r="L78" s="7"/>
      <c r="M78" s="7"/>
      <c r="N78" s="7"/>
      <c r="O78" s="7"/>
      <c r="P78" s="7"/>
    </row>
    <row r="79" spans="1:16" x14ac:dyDescent="0.2">
      <c r="A79" s="7"/>
      <c r="B79" s="7"/>
      <c r="C79" s="7"/>
      <c r="D79" s="7"/>
      <c r="E79" s="7"/>
      <c r="F79" s="7"/>
      <c r="G79" s="7"/>
      <c r="H79" s="7"/>
      <c r="I79" s="7"/>
      <c r="J79" s="7"/>
      <c r="K79" s="7"/>
      <c r="L79" s="7"/>
      <c r="M79" s="7"/>
      <c r="N79" s="7"/>
      <c r="O79" s="7"/>
      <c r="P79" s="7"/>
    </row>
    <row r="80" spans="1:16" x14ac:dyDescent="0.2">
      <c r="A80" s="7"/>
      <c r="B80" s="7"/>
      <c r="C80" s="7"/>
      <c r="D80" s="7"/>
      <c r="E80" s="7"/>
      <c r="F80" s="7"/>
      <c r="G80" s="7"/>
      <c r="H80" s="7"/>
      <c r="I80" s="7"/>
      <c r="J80" s="7"/>
      <c r="K80" s="7"/>
      <c r="L80" s="7"/>
      <c r="M80" s="7"/>
      <c r="N80" s="7"/>
      <c r="O80" s="7"/>
      <c r="P80" s="7"/>
    </row>
    <row r="81" spans="1:16" x14ac:dyDescent="0.2">
      <c r="A81" s="7"/>
      <c r="B81" s="7"/>
      <c r="C81" s="7"/>
      <c r="D81" s="7"/>
      <c r="E81" s="7"/>
      <c r="F81" s="7"/>
      <c r="G81" s="7"/>
      <c r="H81" s="7"/>
      <c r="I81" s="7"/>
      <c r="J81" s="7"/>
      <c r="K81" s="7"/>
      <c r="L81" s="7"/>
      <c r="M81" s="7"/>
      <c r="N81" s="7"/>
      <c r="O81" s="7"/>
      <c r="P81" s="7"/>
    </row>
    <row r="82" spans="1:16" x14ac:dyDescent="0.2">
      <c r="A82" s="7"/>
      <c r="B82" s="7"/>
      <c r="C82" s="7"/>
      <c r="D82" s="7"/>
      <c r="E82" s="7"/>
      <c r="F82" s="7"/>
      <c r="G82" s="7"/>
      <c r="H82" s="7"/>
      <c r="I82" s="7"/>
      <c r="J82" s="7"/>
      <c r="K82" s="7"/>
      <c r="L82" s="7"/>
      <c r="M82" s="7"/>
      <c r="N82" s="7"/>
      <c r="O82" s="7"/>
      <c r="P82" s="7"/>
    </row>
    <row r="83" spans="1:16" x14ac:dyDescent="0.2">
      <c r="A83" s="7"/>
      <c r="B83" s="7"/>
      <c r="C83" s="7"/>
      <c r="D83" s="7"/>
      <c r="E83" s="7"/>
      <c r="F83" s="7"/>
      <c r="G83" s="7"/>
      <c r="H83" s="7"/>
      <c r="I83" s="7"/>
      <c r="J83" s="7"/>
      <c r="K83" s="7"/>
      <c r="L83" s="7"/>
      <c r="M83" s="7"/>
      <c r="N83" s="7"/>
      <c r="O83" s="7"/>
      <c r="P83" s="7"/>
    </row>
    <row r="84" spans="1:16" x14ac:dyDescent="0.2">
      <c r="A84" s="7"/>
      <c r="B84" s="7"/>
      <c r="C84" s="7"/>
      <c r="D84" s="7"/>
      <c r="E84" s="7"/>
      <c r="F84" s="7"/>
      <c r="G84" s="7"/>
      <c r="H84" s="7"/>
      <c r="I84" s="7"/>
      <c r="J84" s="7"/>
      <c r="K84" s="7"/>
      <c r="L84" s="7"/>
      <c r="M84" s="7"/>
      <c r="N84" s="7"/>
      <c r="O84" s="7"/>
      <c r="P84" s="7"/>
    </row>
    <row r="85" spans="1:16" x14ac:dyDescent="0.2">
      <c r="A85" s="7"/>
      <c r="B85" s="7"/>
      <c r="C85" s="7"/>
      <c r="D85" s="7"/>
      <c r="E85" s="7"/>
      <c r="F85" s="7"/>
      <c r="G85" s="7"/>
      <c r="H85" s="7"/>
      <c r="I85" s="7"/>
      <c r="J85" s="7"/>
      <c r="K85" s="7"/>
      <c r="L85" s="7"/>
      <c r="M85" s="7"/>
      <c r="N85" s="7"/>
      <c r="O85" s="7"/>
      <c r="P85" s="7"/>
    </row>
    <row r="86" spans="1:16" x14ac:dyDescent="0.2">
      <c r="A86" s="7"/>
      <c r="B86" s="7"/>
      <c r="C86" s="7"/>
      <c r="D86" s="7"/>
      <c r="E86" s="7"/>
      <c r="F86" s="7"/>
      <c r="G86" s="7"/>
      <c r="H86" s="7"/>
      <c r="I86" s="7"/>
      <c r="J86" s="7"/>
      <c r="K86" s="7"/>
      <c r="L86" s="7"/>
      <c r="M86" s="7"/>
      <c r="N86" s="7"/>
      <c r="O86" s="7"/>
      <c r="P86" s="7"/>
    </row>
    <row r="87" spans="1:16" x14ac:dyDescent="0.2">
      <c r="A87" s="7"/>
      <c r="B87" s="7"/>
      <c r="C87" s="7"/>
      <c r="D87" s="7"/>
      <c r="E87" s="7"/>
      <c r="F87" s="7"/>
      <c r="G87" s="7"/>
      <c r="H87" s="7"/>
      <c r="I87" s="7"/>
      <c r="J87" s="7"/>
      <c r="K87" s="7"/>
      <c r="L87" s="7"/>
      <c r="M87" s="7"/>
      <c r="N87" s="7"/>
      <c r="O87" s="7"/>
      <c r="P87" s="7"/>
    </row>
    <row r="88" spans="1:16" x14ac:dyDescent="0.2">
      <c r="A88" s="7"/>
      <c r="B88" s="7"/>
      <c r="C88" s="7"/>
      <c r="D88" s="7"/>
      <c r="E88" s="7"/>
      <c r="F88" s="7"/>
      <c r="G88" s="7"/>
      <c r="H88" s="7"/>
      <c r="I88" s="7"/>
      <c r="J88" s="7"/>
      <c r="K88" s="7"/>
      <c r="L88" s="7"/>
      <c r="M88" s="7"/>
      <c r="N88" s="7"/>
      <c r="O88" s="7"/>
      <c r="P88" s="7"/>
    </row>
    <row r="89" spans="1:16" x14ac:dyDescent="0.2">
      <c r="A89" s="7"/>
      <c r="B89" s="7"/>
      <c r="C89" s="7"/>
      <c r="D89" s="7"/>
      <c r="E89" s="7"/>
      <c r="F89" s="7"/>
      <c r="G89" s="7"/>
      <c r="H89" s="7"/>
      <c r="I89" s="7"/>
      <c r="J89" s="7"/>
      <c r="K89" s="7"/>
      <c r="L89" s="7"/>
      <c r="M89" s="7"/>
      <c r="N89" s="7"/>
      <c r="O89" s="7"/>
      <c r="P89" s="7"/>
    </row>
    <row r="90" spans="1:16" x14ac:dyDescent="0.2">
      <c r="A90" s="7"/>
      <c r="B90" s="7"/>
      <c r="C90" s="7"/>
      <c r="D90" s="7"/>
      <c r="E90" s="7"/>
      <c r="F90" s="7"/>
      <c r="G90" s="7"/>
      <c r="H90" s="7"/>
      <c r="I90" s="7"/>
      <c r="J90" s="7"/>
      <c r="K90" s="7"/>
      <c r="L90" s="7"/>
      <c r="M90" s="7"/>
      <c r="N90" s="7"/>
      <c r="O90" s="7"/>
      <c r="P90" s="7"/>
    </row>
    <row r="91" spans="1:16" x14ac:dyDescent="0.2">
      <c r="A91" s="7"/>
      <c r="B91" s="7"/>
      <c r="C91" s="7"/>
      <c r="D91" s="7"/>
      <c r="E91" s="7"/>
      <c r="F91" s="7"/>
      <c r="G91" s="7"/>
      <c r="H91" s="7"/>
      <c r="I91" s="7"/>
      <c r="J91" s="7"/>
      <c r="K91" s="7"/>
      <c r="L91" s="7"/>
      <c r="M91" s="7"/>
      <c r="N91" s="7"/>
      <c r="O91" s="7"/>
      <c r="P91" s="7"/>
    </row>
    <row r="92" spans="1:16" x14ac:dyDescent="0.2">
      <c r="A92" s="7"/>
      <c r="B92" s="7"/>
      <c r="C92" s="7"/>
      <c r="D92" s="7"/>
      <c r="E92" s="7"/>
      <c r="F92" s="7"/>
      <c r="G92" s="7"/>
      <c r="H92" s="7"/>
      <c r="I92" s="7"/>
      <c r="J92" s="7"/>
      <c r="K92" s="7"/>
      <c r="L92" s="7"/>
      <c r="M92" s="7"/>
      <c r="N92" s="7"/>
      <c r="O92" s="7"/>
      <c r="P92" s="7"/>
    </row>
    <row r="93" spans="1:16" x14ac:dyDescent="0.2">
      <c r="A93" s="7"/>
      <c r="B93" s="7"/>
      <c r="C93" s="7"/>
      <c r="D93" s="7"/>
      <c r="E93" s="7"/>
      <c r="F93" s="7"/>
      <c r="G93" s="7"/>
      <c r="H93" s="7"/>
      <c r="I93" s="7"/>
      <c r="J93" s="7"/>
      <c r="K93" s="7"/>
      <c r="L93" s="7"/>
      <c r="M93" s="7"/>
      <c r="N93" s="7"/>
      <c r="O93" s="7"/>
      <c r="P93" s="7"/>
    </row>
    <row r="94" spans="1:16" x14ac:dyDescent="0.2">
      <c r="A94" s="7"/>
      <c r="B94" s="7"/>
      <c r="C94" s="7"/>
      <c r="D94" s="7"/>
      <c r="E94" s="7"/>
      <c r="F94" s="7"/>
      <c r="G94" s="7"/>
      <c r="H94" s="7"/>
      <c r="I94" s="7"/>
      <c r="J94" s="7"/>
      <c r="K94" s="7"/>
      <c r="L94" s="7"/>
      <c r="M94" s="7"/>
      <c r="N94" s="7"/>
      <c r="O94" s="7"/>
      <c r="P94" s="7"/>
    </row>
    <row r="95" spans="1:16" x14ac:dyDescent="0.2">
      <c r="A95" s="7"/>
      <c r="B95" s="7"/>
      <c r="C95" s="7"/>
      <c r="D95" s="7"/>
      <c r="E95" s="7"/>
      <c r="F95" s="7"/>
      <c r="G95" s="7"/>
      <c r="H95" s="7"/>
      <c r="I95" s="7"/>
      <c r="J95" s="7"/>
      <c r="K95" s="7"/>
      <c r="L95" s="7"/>
      <c r="M95" s="7"/>
      <c r="N95" s="7"/>
      <c r="O95" s="7"/>
      <c r="P95" s="7"/>
    </row>
    <row r="96" spans="1:16" x14ac:dyDescent="0.2">
      <c r="A96" s="7"/>
      <c r="B96" s="7"/>
      <c r="C96" s="7"/>
      <c r="D96" s="7"/>
      <c r="E96" s="7"/>
      <c r="F96" s="7"/>
      <c r="G96" s="7"/>
      <c r="H96" s="7"/>
      <c r="I96" s="7"/>
      <c r="J96" s="7"/>
      <c r="K96" s="7"/>
      <c r="L96" s="7"/>
      <c r="M96" s="7"/>
      <c r="N96" s="7"/>
      <c r="O96" s="7"/>
      <c r="P96" s="7"/>
    </row>
    <row r="97" spans="1:16" x14ac:dyDescent="0.2">
      <c r="A97" s="7"/>
      <c r="B97" s="7"/>
      <c r="C97" s="7"/>
      <c r="D97" s="7"/>
      <c r="E97" s="7"/>
      <c r="F97" s="7"/>
      <c r="G97" s="7"/>
      <c r="H97" s="7"/>
      <c r="I97" s="7"/>
      <c r="J97" s="7"/>
      <c r="K97" s="7"/>
      <c r="L97" s="7"/>
      <c r="M97" s="7"/>
      <c r="N97" s="7"/>
      <c r="O97" s="7"/>
      <c r="P97" s="7"/>
    </row>
    <row r="98" spans="1:16" x14ac:dyDescent="0.2">
      <c r="A98" s="7"/>
      <c r="B98" s="7"/>
      <c r="C98" s="7"/>
      <c r="D98" s="7"/>
      <c r="E98" s="7"/>
      <c r="F98" s="7"/>
      <c r="G98" s="7"/>
      <c r="H98" s="7"/>
      <c r="I98" s="7"/>
      <c r="J98" s="7"/>
      <c r="K98" s="7"/>
      <c r="L98" s="7"/>
      <c r="M98" s="7"/>
      <c r="N98" s="7"/>
      <c r="O98" s="7"/>
      <c r="P98" s="7"/>
    </row>
    <row r="99" spans="1:16" x14ac:dyDescent="0.2">
      <c r="A99" s="7"/>
      <c r="B99" s="7"/>
      <c r="C99" s="7"/>
      <c r="D99" s="7"/>
      <c r="E99" s="7"/>
      <c r="F99" s="7"/>
      <c r="G99" s="7"/>
      <c r="H99" s="7"/>
      <c r="I99" s="7"/>
      <c r="J99" s="7"/>
      <c r="K99" s="7"/>
      <c r="L99" s="7"/>
      <c r="M99" s="7"/>
      <c r="N99" s="7"/>
      <c r="O99" s="7"/>
      <c r="P99" s="7"/>
    </row>
    <row r="100" spans="1:16" x14ac:dyDescent="0.2">
      <c r="A100" s="7"/>
      <c r="B100" s="7"/>
      <c r="C100" s="7"/>
      <c r="D100" s="7"/>
      <c r="E100" s="7"/>
      <c r="F100" s="7"/>
      <c r="G100" s="7"/>
      <c r="H100" s="7"/>
      <c r="I100" s="7"/>
      <c r="J100" s="7"/>
      <c r="K100" s="7"/>
      <c r="L100" s="7"/>
      <c r="M100" s="7"/>
      <c r="N100" s="7"/>
      <c r="O100" s="7"/>
      <c r="P100" s="7"/>
    </row>
    <row r="101" spans="1:16" x14ac:dyDescent="0.2">
      <c r="A101" s="7"/>
      <c r="B101" s="7"/>
      <c r="C101" s="7"/>
      <c r="D101" s="7"/>
      <c r="E101" s="7"/>
      <c r="F101" s="7"/>
      <c r="G101" s="7"/>
      <c r="H101" s="7"/>
      <c r="I101" s="7"/>
      <c r="J101" s="7"/>
      <c r="K101" s="7"/>
      <c r="L101" s="7"/>
      <c r="M101" s="7"/>
      <c r="N101" s="7"/>
      <c r="O101" s="7"/>
      <c r="P101" s="7"/>
    </row>
    <row r="102" spans="1:16" x14ac:dyDescent="0.2">
      <c r="A102" s="7"/>
      <c r="B102" s="7"/>
      <c r="C102" s="7"/>
      <c r="D102" s="7"/>
      <c r="E102" s="7"/>
      <c r="F102" s="7"/>
      <c r="G102" s="7"/>
      <c r="H102" s="7"/>
      <c r="I102" s="7"/>
      <c r="J102" s="7"/>
      <c r="K102" s="7"/>
      <c r="L102" s="7"/>
      <c r="M102" s="7"/>
      <c r="N102" s="7"/>
      <c r="O102" s="7"/>
      <c r="P102" s="7"/>
    </row>
    <row r="103" spans="1:16" x14ac:dyDescent="0.2">
      <c r="A103" s="7"/>
      <c r="B103" s="7"/>
      <c r="C103" s="7"/>
      <c r="D103" s="7"/>
      <c r="E103" s="7"/>
      <c r="F103" s="7"/>
      <c r="G103" s="7"/>
      <c r="H103" s="7"/>
      <c r="I103" s="7"/>
      <c r="J103" s="7"/>
      <c r="K103" s="7"/>
      <c r="L103" s="7"/>
      <c r="M103" s="7"/>
      <c r="N103" s="7"/>
      <c r="O103" s="7"/>
      <c r="P103" s="7"/>
    </row>
    <row r="104" spans="1:16" x14ac:dyDescent="0.2">
      <c r="A104" s="7"/>
      <c r="B104" s="7"/>
      <c r="C104" s="7"/>
      <c r="D104" s="7"/>
      <c r="E104" s="7"/>
      <c r="F104" s="7"/>
      <c r="G104" s="7"/>
      <c r="H104" s="7"/>
      <c r="I104" s="7"/>
      <c r="J104" s="7"/>
      <c r="K104" s="7"/>
      <c r="L104" s="7"/>
      <c r="M104" s="7"/>
      <c r="N104" s="7"/>
      <c r="O104" s="7"/>
      <c r="P104" s="7"/>
    </row>
    <row r="105" spans="1:16" x14ac:dyDescent="0.2">
      <c r="A105" s="7"/>
      <c r="B105" s="7"/>
      <c r="C105" s="7"/>
      <c r="D105" s="7"/>
      <c r="E105" s="7"/>
      <c r="F105" s="7"/>
      <c r="G105" s="7"/>
      <c r="H105" s="7"/>
      <c r="I105" s="7"/>
      <c r="J105" s="7"/>
      <c r="K105" s="7"/>
      <c r="L105" s="7"/>
      <c r="M105" s="7"/>
      <c r="N105" s="7"/>
      <c r="O105" s="7"/>
      <c r="P105" s="7"/>
    </row>
    <row r="106" spans="1:16" x14ac:dyDescent="0.2">
      <c r="A106" s="7"/>
      <c r="B106" s="7"/>
      <c r="C106" s="7"/>
      <c r="D106" s="7"/>
      <c r="E106" s="7"/>
      <c r="F106" s="7"/>
      <c r="G106" s="7"/>
      <c r="H106" s="7"/>
      <c r="I106" s="7"/>
      <c r="J106" s="7"/>
      <c r="K106" s="7"/>
      <c r="L106" s="7"/>
      <c r="M106" s="7"/>
      <c r="N106" s="7"/>
      <c r="O106" s="7"/>
      <c r="P106" s="7"/>
    </row>
    <row r="107" spans="1:16" x14ac:dyDescent="0.2">
      <c r="A107" s="7"/>
      <c r="B107" s="7"/>
      <c r="C107" s="7"/>
      <c r="D107" s="7"/>
      <c r="E107" s="7"/>
      <c r="F107" s="7"/>
      <c r="G107" s="7"/>
      <c r="H107" s="7"/>
      <c r="I107" s="7"/>
      <c r="J107" s="7"/>
      <c r="K107" s="7"/>
      <c r="L107" s="7"/>
      <c r="M107" s="7"/>
      <c r="N107" s="7"/>
      <c r="O107" s="7"/>
      <c r="P107" s="7"/>
    </row>
    <row r="108" spans="1:16" x14ac:dyDescent="0.2">
      <c r="A108" s="7"/>
      <c r="B108" s="7"/>
      <c r="C108" s="7"/>
      <c r="D108" s="7"/>
      <c r="E108" s="7"/>
      <c r="F108" s="7"/>
      <c r="G108" s="7"/>
      <c r="H108" s="7"/>
      <c r="I108" s="7"/>
      <c r="J108" s="7"/>
      <c r="K108" s="7"/>
      <c r="L108" s="7"/>
      <c r="M108" s="7"/>
      <c r="N108" s="7"/>
      <c r="O108" s="7"/>
      <c r="P108" s="7"/>
    </row>
    <row r="109" spans="1:16" x14ac:dyDescent="0.2">
      <c r="A109" s="7"/>
      <c r="B109" s="7"/>
      <c r="C109" s="7"/>
      <c r="D109" s="7"/>
      <c r="E109" s="7"/>
      <c r="F109" s="7"/>
      <c r="G109" s="7"/>
      <c r="H109" s="7"/>
      <c r="I109" s="7"/>
      <c r="J109" s="7"/>
      <c r="K109" s="7"/>
      <c r="L109" s="7"/>
      <c r="M109" s="7"/>
      <c r="N109" s="7"/>
      <c r="O109" s="7"/>
      <c r="P109" s="7"/>
    </row>
    <row r="110" spans="1:16" x14ac:dyDescent="0.2">
      <c r="A110" s="7"/>
      <c r="B110" s="7"/>
      <c r="C110" s="7"/>
      <c r="D110" s="7"/>
      <c r="E110" s="7"/>
      <c r="F110" s="7"/>
      <c r="G110" s="7"/>
      <c r="H110" s="7"/>
      <c r="I110" s="7"/>
      <c r="J110" s="7"/>
      <c r="K110" s="7"/>
      <c r="L110" s="7"/>
      <c r="M110" s="7"/>
      <c r="N110" s="7"/>
      <c r="O110" s="7"/>
      <c r="P110" s="7"/>
    </row>
    <row r="111" spans="1:16" x14ac:dyDescent="0.2">
      <c r="A111" s="7"/>
      <c r="B111" s="7"/>
      <c r="C111" s="7"/>
      <c r="D111" s="7"/>
      <c r="E111" s="7"/>
      <c r="F111" s="7"/>
      <c r="G111" s="7"/>
      <c r="H111" s="7"/>
      <c r="I111" s="7"/>
      <c r="J111" s="7"/>
      <c r="K111" s="7"/>
      <c r="L111" s="7"/>
      <c r="M111" s="7"/>
      <c r="N111" s="7"/>
      <c r="O111" s="7"/>
      <c r="P111" s="7"/>
    </row>
    <row r="112" spans="1:16" x14ac:dyDescent="0.2">
      <c r="A112" s="7"/>
      <c r="B112" s="7"/>
      <c r="C112" s="7"/>
      <c r="D112" s="7"/>
      <c r="E112" s="7"/>
      <c r="F112" s="7"/>
      <c r="G112" s="7"/>
      <c r="H112" s="7"/>
      <c r="I112" s="7"/>
      <c r="J112" s="7"/>
      <c r="K112" s="7"/>
      <c r="L112" s="7"/>
      <c r="M112" s="7"/>
      <c r="N112" s="7"/>
      <c r="O112" s="7"/>
      <c r="P112" s="7"/>
    </row>
    <row r="113" spans="1:16" x14ac:dyDescent="0.2">
      <c r="A113" s="7"/>
      <c r="B113" s="7"/>
      <c r="C113" s="7"/>
      <c r="D113" s="7"/>
      <c r="E113" s="7"/>
      <c r="F113" s="7"/>
      <c r="G113" s="7"/>
      <c r="H113" s="7"/>
      <c r="I113" s="7"/>
      <c r="J113" s="7"/>
      <c r="K113" s="7"/>
      <c r="L113" s="7"/>
      <c r="M113" s="7"/>
      <c r="N113" s="7"/>
      <c r="O113" s="7"/>
      <c r="P113" s="7"/>
    </row>
    <row r="114" spans="1:16" x14ac:dyDescent="0.2">
      <c r="A114" s="7"/>
      <c r="B114" s="7"/>
      <c r="C114" s="7"/>
      <c r="D114" s="7"/>
      <c r="E114" s="7"/>
      <c r="F114" s="7"/>
      <c r="G114" s="7"/>
      <c r="H114" s="7"/>
      <c r="I114" s="7"/>
      <c r="J114" s="7"/>
      <c r="K114" s="7"/>
      <c r="L114" s="7"/>
      <c r="M114" s="7"/>
      <c r="N114" s="7"/>
      <c r="O114" s="7"/>
      <c r="P114" s="7"/>
    </row>
    <row r="115" spans="1:16" x14ac:dyDescent="0.2">
      <c r="A115" s="7"/>
      <c r="B115" s="7"/>
      <c r="C115" s="7"/>
      <c r="D115" s="7"/>
      <c r="E115" s="7"/>
      <c r="F115" s="7"/>
      <c r="G115" s="7"/>
      <c r="H115" s="7"/>
      <c r="I115" s="7"/>
      <c r="J115" s="7"/>
      <c r="K115" s="7"/>
      <c r="L115" s="7"/>
      <c r="M115" s="7"/>
      <c r="N115" s="7"/>
      <c r="O115" s="7"/>
      <c r="P115" s="7"/>
    </row>
    <row r="116" spans="1:16" x14ac:dyDescent="0.2">
      <c r="A116" s="7"/>
      <c r="B116" s="7"/>
      <c r="C116" s="7"/>
      <c r="D116" s="7"/>
      <c r="E116" s="7"/>
      <c r="F116" s="7"/>
      <c r="G116" s="7"/>
      <c r="H116" s="7"/>
      <c r="I116" s="7"/>
      <c r="J116" s="7"/>
      <c r="K116" s="7"/>
      <c r="L116" s="7"/>
      <c r="M116" s="7"/>
      <c r="N116" s="7"/>
      <c r="O116" s="7"/>
      <c r="P116" s="7"/>
    </row>
    <row r="117" spans="1:16" x14ac:dyDescent="0.2">
      <c r="A117" s="7"/>
      <c r="B117" s="7"/>
      <c r="C117" s="7"/>
      <c r="D117" s="7"/>
      <c r="E117" s="7"/>
      <c r="F117" s="7"/>
      <c r="G117" s="7"/>
      <c r="H117" s="7"/>
      <c r="I117" s="7"/>
    </row>
    <row r="118" spans="1:16" x14ac:dyDescent="0.2">
      <c r="A118" s="7"/>
      <c r="B118" s="7"/>
      <c r="C118" s="7"/>
      <c r="D118" s="7"/>
      <c r="E118" s="7"/>
      <c r="F118" s="7"/>
      <c r="G118" s="7"/>
      <c r="H118" s="7"/>
      <c r="I118" s="7"/>
    </row>
    <row r="119" spans="1:16" x14ac:dyDescent="0.2">
      <c r="A119" s="7"/>
      <c r="B119" s="7"/>
      <c r="C119" s="7"/>
      <c r="D119" s="7"/>
      <c r="E119" s="7"/>
      <c r="F119" s="7"/>
      <c r="G119" s="7"/>
      <c r="H119" s="7"/>
      <c r="I119" s="7"/>
    </row>
    <row r="120" spans="1:16" x14ac:dyDescent="0.2">
      <c r="A120" s="7"/>
      <c r="B120" s="7"/>
      <c r="C120" s="7"/>
      <c r="D120" s="7"/>
      <c r="E120" s="7"/>
      <c r="F120" s="7"/>
      <c r="G120" s="7"/>
      <c r="H120" s="7"/>
      <c r="I120" s="7"/>
    </row>
    <row r="121" spans="1:16" x14ac:dyDescent="0.2">
      <c r="A121" s="7"/>
      <c r="B121" s="7"/>
      <c r="C121" s="7"/>
      <c r="D121" s="7"/>
      <c r="E121" s="7"/>
      <c r="F121" s="7"/>
      <c r="G121" s="7"/>
      <c r="H121" s="7"/>
      <c r="I121" s="7"/>
    </row>
    <row r="122" spans="1:16" x14ac:dyDescent="0.2">
      <c r="A122" s="7"/>
      <c r="B122" s="7"/>
      <c r="C122" s="7"/>
      <c r="D122" s="7"/>
      <c r="E122" s="7"/>
      <c r="F122" s="7"/>
      <c r="G122" s="7"/>
      <c r="H122" s="7"/>
      <c r="I122" s="7"/>
    </row>
  </sheetData>
  <sheetProtection sheet="1" objects="1" scenarios="1"/>
  <mergeCells count="14">
    <mergeCell ref="F1:I1"/>
    <mergeCell ref="I16:J16"/>
    <mergeCell ref="G34:H34"/>
    <mergeCell ref="I34:J34"/>
    <mergeCell ref="L34:M34"/>
    <mergeCell ref="E8:F8"/>
    <mergeCell ref="G8:H8"/>
    <mergeCell ref="I8:J8"/>
    <mergeCell ref="L8:M8"/>
    <mergeCell ref="L16:M16"/>
    <mergeCell ref="L23:M23"/>
    <mergeCell ref="G23:H23"/>
    <mergeCell ref="I23:J23"/>
    <mergeCell ref="E16:H16"/>
  </mergeCells>
  <pageMargins left="0.70866141732283472" right="0.70866141732283472" top="0.78740157480314965" bottom="0.78740157480314965" header="0.31496062992125984" footer="0.31496062992125984"/>
  <pageSetup paperSize="9" scale="9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05"/>
  <sheetViews>
    <sheetView showGridLines="0" zoomScale="110" zoomScaleNormal="110" zoomScalePageLayoutView="110" workbookViewId="0">
      <selection activeCell="E26" sqref="E26"/>
    </sheetView>
  </sheetViews>
  <sheetFormatPr baseColWidth="10" defaultColWidth="10.875" defaultRowHeight="12.75" x14ac:dyDescent="0.2"/>
  <cols>
    <col min="1" max="3" width="3.125" style="1" customWidth="1"/>
    <col min="4" max="4" width="26.625" style="1" customWidth="1"/>
    <col min="5" max="6" width="7" style="1" customWidth="1"/>
    <col min="7" max="10" width="5.625" style="1" customWidth="1"/>
    <col min="11" max="11" width="3.875" style="1" customWidth="1"/>
    <col min="12" max="12" width="6.375" style="1" customWidth="1"/>
    <col min="13" max="15" width="5.625" style="1" customWidth="1"/>
    <col min="16" max="16384" width="10.875" style="1"/>
  </cols>
  <sheetData>
    <row r="1" spans="1:16" ht="15.75" x14ac:dyDescent="0.25">
      <c r="A1" s="5" t="s">
        <v>146</v>
      </c>
      <c r="B1" s="3"/>
      <c r="C1" s="3"/>
      <c r="D1" s="3"/>
      <c r="E1" s="179" t="s">
        <v>78</v>
      </c>
      <c r="F1" s="204" t="str">
        <f>'2_Coût_de_stockage'!F1:G1</f>
        <v>Ognions en filet de 1 kg</v>
      </c>
      <c r="G1" s="204"/>
      <c r="H1" s="204"/>
      <c r="I1" s="204"/>
      <c r="J1" s="7"/>
      <c r="K1" s="7"/>
      <c r="L1" s="7"/>
      <c r="M1" s="7"/>
      <c r="N1" s="7"/>
      <c r="O1" s="7"/>
      <c r="P1" s="7"/>
    </row>
    <row r="2" spans="1:16" x14ac:dyDescent="0.2">
      <c r="A2" s="6"/>
      <c r="B2" s="6"/>
      <c r="C2" s="6"/>
      <c r="D2" s="6"/>
      <c r="E2" s="6"/>
      <c r="F2" s="6"/>
      <c r="G2" s="6"/>
      <c r="H2" s="6"/>
      <c r="I2" s="7"/>
      <c r="J2" s="7"/>
      <c r="K2" s="7"/>
      <c r="L2" s="7"/>
      <c r="M2" s="7"/>
      <c r="N2" s="7"/>
      <c r="O2" s="7"/>
      <c r="P2" s="7"/>
    </row>
    <row r="3" spans="1:16" x14ac:dyDescent="0.2">
      <c r="A3" s="8" t="s">
        <v>33</v>
      </c>
      <c r="B3" s="9"/>
      <c r="C3" s="9"/>
      <c r="D3" s="9"/>
      <c r="E3" s="16" t="s">
        <v>34</v>
      </c>
      <c r="F3" s="16" t="s">
        <v>35</v>
      </c>
      <c r="G3" s="9"/>
      <c r="H3" s="9"/>
      <c r="I3" s="15"/>
      <c r="J3" s="15"/>
      <c r="K3" s="15"/>
      <c r="L3" s="65"/>
      <c r="M3" s="9"/>
      <c r="N3" s="7"/>
      <c r="O3" s="7"/>
      <c r="P3" s="7"/>
    </row>
    <row r="4" spans="1:16" x14ac:dyDescent="0.2">
      <c r="A4" s="6"/>
      <c r="B4" s="11" t="s">
        <v>66</v>
      </c>
      <c r="C4" s="11"/>
      <c r="D4" s="11"/>
      <c r="E4" s="132">
        <f>'2_Coût_de_stockage'!E5</f>
        <v>275</v>
      </c>
      <c r="F4" s="11" t="s">
        <v>6</v>
      </c>
      <c r="G4" s="11"/>
      <c r="H4" s="11"/>
      <c r="I4" s="27"/>
      <c r="J4" s="27"/>
      <c r="K4" s="27"/>
      <c r="L4" s="66"/>
      <c r="M4" s="67"/>
      <c r="N4" s="7"/>
      <c r="O4" s="7"/>
      <c r="P4" s="7"/>
    </row>
    <row r="5" spans="1:16" x14ac:dyDescent="0.2">
      <c r="A5" s="6"/>
      <c r="B5" s="6" t="s">
        <v>67</v>
      </c>
      <c r="C5" s="6"/>
      <c r="D5" s="6"/>
      <c r="E5" s="132">
        <v>250</v>
      </c>
      <c r="F5" s="6" t="s">
        <v>6</v>
      </c>
      <c r="G5" s="6"/>
      <c r="H5" s="6"/>
      <c r="I5" s="7"/>
      <c r="J5" s="7"/>
      <c r="K5" s="7"/>
      <c r="L5" s="68"/>
      <c r="M5" s="69"/>
      <c r="N5" s="7"/>
      <c r="O5" s="7"/>
      <c r="P5" s="7"/>
    </row>
    <row r="6" spans="1:16" x14ac:dyDescent="0.2">
      <c r="A6" s="6"/>
      <c r="B6" s="6" t="s">
        <v>68</v>
      </c>
      <c r="C6" s="6"/>
      <c r="D6" s="6"/>
      <c r="E6" s="132">
        <v>50</v>
      </c>
      <c r="F6" s="6" t="s">
        <v>3</v>
      </c>
      <c r="G6" s="6"/>
      <c r="H6" s="6"/>
      <c r="I6" s="7"/>
      <c r="J6" s="7"/>
      <c r="K6" s="7"/>
      <c r="L6" s="68"/>
      <c r="M6" s="69"/>
      <c r="N6" s="7"/>
      <c r="O6" s="7"/>
      <c r="P6" s="7"/>
    </row>
    <row r="7" spans="1:16" x14ac:dyDescent="0.2">
      <c r="A7" s="6"/>
      <c r="B7" s="6"/>
      <c r="C7" s="6"/>
      <c r="D7" s="6"/>
      <c r="E7" s="6"/>
      <c r="F7" s="6"/>
      <c r="G7" s="6"/>
      <c r="H7" s="6"/>
      <c r="I7" s="7"/>
      <c r="J7" s="7"/>
      <c r="K7" s="7"/>
      <c r="L7" s="68"/>
      <c r="M7" s="69"/>
      <c r="N7" s="7"/>
      <c r="O7" s="7"/>
      <c r="P7" s="7"/>
    </row>
    <row r="8" spans="1:16" ht="13.5" customHeight="1" x14ac:dyDescent="0.2">
      <c r="A8" s="8" t="s">
        <v>158</v>
      </c>
      <c r="B8" s="9"/>
      <c r="C8" s="9"/>
      <c r="D8" s="9"/>
      <c r="E8" s="206" t="s">
        <v>36</v>
      </c>
      <c r="F8" s="206"/>
      <c r="G8" s="209" t="s">
        <v>37</v>
      </c>
      <c r="H8" s="210"/>
      <c r="I8" s="211" t="s">
        <v>38</v>
      </c>
      <c r="J8" s="211"/>
      <c r="K8" s="147"/>
      <c r="L8" s="208" t="s">
        <v>25</v>
      </c>
      <c r="M8" s="207"/>
      <c r="N8" s="7"/>
      <c r="O8" s="7"/>
      <c r="P8" s="7"/>
    </row>
    <row r="9" spans="1:16" x14ac:dyDescent="0.2">
      <c r="A9" s="12"/>
      <c r="B9" s="6"/>
      <c r="C9" s="6"/>
      <c r="D9" s="6"/>
      <c r="E9" s="113" t="s">
        <v>7</v>
      </c>
      <c r="F9" s="114" t="s">
        <v>44</v>
      </c>
      <c r="G9" s="118" t="s">
        <v>7</v>
      </c>
      <c r="H9" s="119" t="s">
        <v>44</v>
      </c>
      <c r="I9" s="113" t="s">
        <v>7</v>
      </c>
      <c r="J9" s="114" t="s">
        <v>44</v>
      </c>
      <c r="K9" s="18"/>
      <c r="L9" s="148" t="s">
        <v>1</v>
      </c>
      <c r="M9" s="149" t="s">
        <v>41</v>
      </c>
      <c r="N9" s="7"/>
      <c r="O9" s="7"/>
      <c r="P9" s="7"/>
    </row>
    <row r="10" spans="1:16" x14ac:dyDescent="0.2">
      <c r="A10" s="12"/>
      <c r="B10" s="167" t="s">
        <v>159</v>
      </c>
      <c r="C10" s="45"/>
      <c r="D10" s="45"/>
      <c r="E10" s="115"/>
      <c r="F10" s="116"/>
      <c r="G10" s="120"/>
      <c r="H10" s="121"/>
      <c r="I10" s="115"/>
      <c r="J10" s="116"/>
      <c r="K10" s="62"/>
      <c r="L10" s="72">
        <f>SUM(F11:F12,H11:H12,J11:J12)</f>
        <v>4600</v>
      </c>
      <c r="M10" s="73">
        <f>L10/E5/1000</f>
        <v>1.84E-2</v>
      </c>
      <c r="N10" s="7"/>
      <c r="O10" s="7"/>
      <c r="P10" s="7"/>
    </row>
    <row r="11" spans="1:16" x14ac:dyDescent="0.2">
      <c r="A11" s="6"/>
      <c r="C11" s="6" t="s">
        <v>23</v>
      </c>
      <c r="D11" s="6"/>
      <c r="E11" s="133">
        <v>5</v>
      </c>
      <c r="F11" s="117">
        <f>E11*'1_Donnees_de_base_Batiments'!D$4</f>
        <v>200</v>
      </c>
      <c r="G11" s="134">
        <v>0</v>
      </c>
      <c r="H11" s="122">
        <f>G11*'1_Donnees_de_base_Batiments'!D$5</f>
        <v>0</v>
      </c>
      <c r="I11" s="133">
        <v>200</v>
      </c>
      <c r="J11" s="117">
        <f>I11*'1_Donnees_de_base_Batiments'!D$6</f>
        <v>4400</v>
      </c>
      <c r="K11" s="27"/>
      <c r="L11" s="68"/>
      <c r="M11" s="69"/>
      <c r="N11" s="7"/>
      <c r="O11" s="7"/>
      <c r="P11" s="7"/>
    </row>
    <row r="12" spans="1:16" x14ac:dyDescent="0.2">
      <c r="A12" s="6"/>
      <c r="C12" s="6" t="s">
        <v>63</v>
      </c>
      <c r="D12" s="6"/>
      <c r="E12" s="133">
        <v>0</v>
      </c>
      <c r="F12" s="117">
        <f>E12*'1_Donnees_de_base_Batiments'!D$4</f>
        <v>0</v>
      </c>
      <c r="G12" s="134">
        <v>0</v>
      </c>
      <c r="H12" s="122">
        <f>G12*'1_Donnees_de_base_Batiments'!D$5</f>
        <v>0</v>
      </c>
      <c r="I12" s="133">
        <v>0</v>
      </c>
      <c r="J12" s="117">
        <f>I12*'1_Donnees_de_base_Batiments'!D$6</f>
        <v>0</v>
      </c>
      <c r="K12" s="27"/>
      <c r="L12" s="68"/>
      <c r="M12" s="69"/>
      <c r="N12" s="7"/>
      <c r="O12" s="7"/>
      <c r="P12" s="7"/>
    </row>
    <row r="13" spans="1:16" ht="7.5" customHeight="1" x14ac:dyDescent="0.2">
      <c r="A13" s="6"/>
      <c r="B13" s="6"/>
      <c r="C13" s="6"/>
      <c r="D13" s="6"/>
      <c r="E13" s="6"/>
      <c r="F13" s="6"/>
      <c r="G13" s="6"/>
      <c r="H13" s="6"/>
      <c r="I13" s="7"/>
      <c r="J13" s="7"/>
      <c r="K13" s="7"/>
      <c r="L13" s="68"/>
      <c r="M13" s="69"/>
      <c r="N13" s="7"/>
      <c r="O13" s="7"/>
      <c r="P13" s="7"/>
    </row>
    <row r="14" spans="1:16" ht="12.75" customHeight="1" x14ac:dyDescent="0.2">
      <c r="A14" s="6"/>
      <c r="B14" s="6"/>
      <c r="C14" s="6"/>
      <c r="D14" s="6"/>
      <c r="E14" s="6"/>
      <c r="F14" s="6"/>
      <c r="G14" s="6"/>
      <c r="H14" s="6"/>
      <c r="I14" s="7"/>
      <c r="J14" s="7"/>
      <c r="K14" s="7"/>
      <c r="L14" s="68"/>
      <c r="M14" s="69"/>
      <c r="N14" s="7"/>
      <c r="O14" s="7"/>
      <c r="P14" s="7"/>
    </row>
    <row r="15" spans="1:16" ht="13.15" customHeight="1" x14ac:dyDescent="0.2">
      <c r="A15" s="8" t="s">
        <v>42</v>
      </c>
      <c r="B15" s="9"/>
      <c r="C15" s="9"/>
      <c r="D15" s="9"/>
      <c r="E15" s="213" t="s">
        <v>46</v>
      </c>
      <c r="F15" s="213"/>
      <c r="G15" s="213"/>
      <c r="H15" s="213"/>
      <c r="I15" s="205"/>
      <c r="J15" s="205"/>
      <c r="K15" s="146"/>
      <c r="L15" s="208" t="s">
        <v>25</v>
      </c>
      <c r="M15" s="207"/>
      <c r="N15" s="7"/>
      <c r="O15" s="7"/>
      <c r="P15" s="7"/>
    </row>
    <row r="16" spans="1:16" x14ac:dyDescent="0.2">
      <c r="A16" s="6"/>
      <c r="B16" s="6"/>
      <c r="C16" s="6"/>
      <c r="D16" s="13"/>
      <c r="E16" s="17" t="s">
        <v>7</v>
      </c>
      <c r="F16" s="17" t="s">
        <v>44</v>
      </c>
      <c r="G16" s="6"/>
      <c r="H16" s="6"/>
      <c r="I16" s="7"/>
      <c r="J16" s="7"/>
      <c r="K16" s="7"/>
      <c r="L16" s="148" t="s">
        <v>1</v>
      </c>
      <c r="M16" s="149" t="s">
        <v>41</v>
      </c>
      <c r="N16" s="7"/>
      <c r="O16" s="7"/>
      <c r="P16" s="7"/>
    </row>
    <row r="17" spans="1:16" x14ac:dyDescent="0.2">
      <c r="A17" s="6"/>
      <c r="B17" s="61" t="s">
        <v>139</v>
      </c>
      <c r="C17" s="61"/>
      <c r="D17" s="63"/>
      <c r="E17" s="153">
        <v>20</v>
      </c>
      <c r="F17" s="103">
        <f>E17*'1_Donnees_de_base_Batiments'!D$8</f>
        <v>380</v>
      </c>
      <c r="G17" s="61"/>
      <c r="H17" s="61"/>
      <c r="I17" s="61"/>
      <c r="J17" s="61"/>
      <c r="K17" s="61"/>
      <c r="L17" s="72">
        <f>F17</f>
        <v>380</v>
      </c>
      <c r="M17" s="73">
        <f>L17/E5/1000</f>
        <v>1.5200000000000001E-3</v>
      </c>
      <c r="N17" s="7"/>
      <c r="O17" s="7"/>
      <c r="P17" s="7"/>
    </row>
    <row r="18" spans="1:16" ht="20.25" customHeight="1" x14ac:dyDescent="0.2">
      <c r="A18" s="6"/>
      <c r="B18" s="6"/>
      <c r="C18" s="6"/>
      <c r="D18" s="6"/>
      <c r="E18" s="6"/>
      <c r="F18" s="6"/>
      <c r="G18" s="6"/>
      <c r="H18" s="6"/>
      <c r="I18" s="7"/>
      <c r="J18" s="7"/>
      <c r="K18" s="7"/>
      <c r="L18" s="68"/>
      <c r="M18" s="69"/>
      <c r="N18" s="7"/>
      <c r="O18" s="7"/>
      <c r="P18" s="7"/>
    </row>
    <row r="19" spans="1:16" ht="14.25" customHeight="1" x14ac:dyDescent="0.2">
      <c r="A19" s="8" t="s">
        <v>43</v>
      </c>
      <c r="B19" s="9"/>
      <c r="C19" s="9"/>
      <c r="D19" s="9"/>
      <c r="E19" s="20" t="s">
        <v>148</v>
      </c>
      <c r="F19" s="20" t="s">
        <v>35</v>
      </c>
      <c r="G19" s="206"/>
      <c r="H19" s="206"/>
      <c r="I19" s="205"/>
      <c r="J19" s="205"/>
      <c r="K19" s="146"/>
      <c r="L19" s="208" t="s">
        <v>25</v>
      </c>
      <c r="M19" s="207"/>
      <c r="N19" s="7"/>
      <c r="O19" s="7"/>
      <c r="P19" s="7"/>
    </row>
    <row r="20" spans="1:16" ht="14.25" customHeight="1" x14ac:dyDescent="0.2">
      <c r="A20" s="10"/>
      <c r="B20" s="11"/>
      <c r="C20" s="11"/>
      <c r="D20" s="11"/>
      <c r="E20" s="22"/>
      <c r="F20" s="22"/>
      <c r="G20" s="23"/>
      <c r="H20" s="23"/>
      <c r="I20" s="24"/>
      <c r="J20" s="24"/>
      <c r="K20" s="24"/>
      <c r="L20" s="148" t="s">
        <v>1</v>
      </c>
      <c r="M20" s="149" t="s">
        <v>41</v>
      </c>
      <c r="N20" s="7"/>
      <c r="O20" s="7"/>
      <c r="P20" s="7"/>
    </row>
    <row r="21" spans="1:16" x14ac:dyDescent="0.2">
      <c r="A21" s="6"/>
      <c r="B21" s="61" t="s">
        <v>54</v>
      </c>
      <c r="C21" s="45"/>
      <c r="D21" s="45"/>
      <c r="E21" s="103">
        <f>SUM('1_Donnees_de_base_Batiments'!F15:F20,'1_Donnees_de_base_Batiments'!F23:F28)</f>
        <v>5190</v>
      </c>
      <c r="F21" s="45" t="s">
        <v>16</v>
      </c>
      <c r="G21" s="45"/>
      <c r="H21" s="45"/>
      <c r="I21" s="45"/>
      <c r="J21" s="45"/>
      <c r="K21" s="45"/>
      <c r="L21" s="72">
        <f>E21*E6/100</f>
        <v>2595</v>
      </c>
      <c r="M21" s="73">
        <f>L21/E5/1000</f>
        <v>1.038E-2</v>
      </c>
      <c r="N21" s="7"/>
      <c r="O21" s="7"/>
      <c r="P21" s="7"/>
    </row>
    <row r="22" spans="1:16" x14ac:dyDescent="0.2">
      <c r="A22" s="6"/>
      <c r="B22" s="19"/>
      <c r="C22" s="6"/>
      <c r="D22" s="6"/>
      <c r="E22" s="11"/>
      <c r="F22" s="6"/>
      <c r="G22" s="6"/>
      <c r="H22" s="6"/>
      <c r="I22" s="7"/>
      <c r="J22" s="7"/>
      <c r="K22" s="7"/>
      <c r="L22" s="74"/>
      <c r="M22" s="75"/>
      <c r="N22" s="7"/>
      <c r="O22" s="7"/>
      <c r="P22" s="7"/>
    </row>
    <row r="23" spans="1:16" x14ac:dyDescent="0.2">
      <c r="A23" s="6"/>
      <c r="B23" s="61" t="s">
        <v>161</v>
      </c>
      <c r="C23" s="45"/>
      <c r="D23" s="45"/>
      <c r="E23" s="45"/>
      <c r="F23" s="45"/>
      <c r="G23" s="45"/>
      <c r="H23" s="45"/>
      <c r="I23" s="45"/>
      <c r="J23" s="45"/>
      <c r="K23" s="45"/>
      <c r="L23" s="72">
        <f>SUM(E24,E27)*E6/100</f>
        <v>3083.3333333333339</v>
      </c>
      <c r="M23" s="73">
        <f>L23/E5/1000</f>
        <v>1.2333333333333335E-2</v>
      </c>
      <c r="N23" s="7"/>
      <c r="O23" s="7"/>
      <c r="P23" s="7"/>
    </row>
    <row r="24" spans="1:16" x14ac:dyDescent="0.2">
      <c r="A24" s="6"/>
      <c r="B24" s="19"/>
      <c r="C24" s="6" t="s">
        <v>49</v>
      </c>
      <c r="D24" s="6"/>
      <c r="E24" s="102">
        <f>E25/E26</f>
        <v>4166.666666666667</v>
      </c>
      <c r="F24" s="6" t="s">
        <v>16</v>
      </c>
      <c r="G24" s="6"/>
      <c r="H24" s="6"/>
      <c r="I24" s="7"/>
      <c r="J24" s="7"/>
      <c r="K24" s="7"/>
      <c r="L24" s="74"/>
      <c r="M24" s="76"/>
      <c r="N24" s="7"/>
      <c r="O24" s="7"/>
      <c r="P24" s="7"/>
    </row>
    <row r="25" spans="1:16" x14ac:dyDescent="0.2">
      <c r="A25" s="6"/>
      <c r="B25" s="6"/>
      <c r="D25" s="6" t="s">
        <v>142</v>
      </c>
      <c r="E25" s="132">
        <v>50000</v>
      </c>
      <c r="F25" s="6" t="s">
        <v>25</v>
      </c>
      <c r="G25" s="6"/>
      <c r="H25" s="6"/>
      <c r="I25" s="7"/>
      <c r="J25" s="7"/>
      <c r="K25" s="7"/>
      <c r="L25" s="74"/>
      <c r="M25" s="76"/>
      <c r="N25" s="7"/>
      <c r="O25" s="7"/>
      <c r="P25" s="7"/>
    </row>
    <row r="26" spans="1:16" x14ac:dyDescent="0.2">
      <c r="A26" s="6"/>
      <c r="B26" s="6"/>
      <c r="D26" s="6" t="s">
        <v>65</v>
      </c>
      <c r="E26" s="135">
        <v>12</v>
      </c>
      <c r="F26" s="6" t="s">
        <v>17</v>
      </c>
      <c r="G26" s="6"/>
      <c r="H26" s="6"/>
      <c r="I26" s="7"/>
      <c r="J26" s="7"/>
      <c r="K26" s="7"/>
      <c r="L26" s="74"/>
      <c r="M26" s="76"/>
      <c r="N26" s="7"/>
      <c r="O26" s="7"/>
      <c r="P26" s="7"/>
    </row>
    <row r="27" spans="1:16" x14ac:dyDescent="0.2">
      <c r="A27" s="6"/>
      <c r="B27" s="6"/>
      <c r="C27" s="6" t="s">
        <v>27</v>
      </c>
      <c r="D27" s="6"/>
      <c r="E27" s="132">
        <v>2000</v>
      </c>
      <c r="F27" s="6" t="s">
        <v>16</v>
      </c>
      <c r="G27" s="6"/>
      <c r="H27" s="6"/>
      <c r="I27" s="7"/>
      <c r="J27" s="7"/>
      <c r="K27" s="7"/>
      <c r="L27" s="74"/>
      <c r="M27" s="76"/>
      <c r="N27" s="7"/>
      <c r="O27" s="7"/>
      <c r="P27" s="7"/>
    </row>
    <row r="28" spans="1:16" x14ac:dyDescent="0.2">
      <c r="A28" s="6"/>
      <c r="B28" s="6"/>
      <c r="C28" s="6"/>
      <c r="D28" s="6"/>
      <c r="E28" s="161"/>
      <c r="F28" s="6"/>
      <c r="G28" s="6"/>
      <c r="H28" s="6"/>
      <c r="I28" s="7"/>
      <c r="J28" s="7"/>
      <c r="K28" s="7"/>
      <c r="L28" s="74"/>
      <c r="M28" s="76"/>
      <c r="N28" s="7"/>
      <c r="O28" s="7"/>
      <c r="P28" s="7"/>
    </row>
    <row r="29" spans="1:16" ht="12.75" customHeight="1" x14ac:dyDescent="0.2">
      <c r="A29" s="8" t="s">
        <v>45</v>
      </c>
      <c r="B29" s="9"/>
      <c r="C29" s="9"/>
      <c r="D29" s="9"/>
      <c r="E29" s="20" t="s">
        <v>148</v>
      </c>
      <c r="F29" s="20" t="s">
        <v>35</v>
      </c>
      <c r="G29" s="206"/>
      <c r="H29" s="206"/>
      <c r="I29" s="207"/>
      <c r="J29" s="207"/>
      <c r="K29" s="150"/>
      <c r="L29" s="208" t="s">
        <v>25</v>
      </c>
      <c r="M29" s="207"/>
      <c r="N29" s="7"/>
      <c r="O29" s="7"/>
      <c r="P29" s="7"/>
    </row>
    <row r="30" spans="1:16" ht="12.75" customHeight="1" x14ac:dyDescent="0.2">
      <c r="A30" s="10"/>
      <c r="B30" s="11"/>
      <c r="C30" s="11"/>
      <c r="D30" s="11"/>
      <c r="E30" s="22"/>
      <c r="F30" s="22"/>
      <c r="G30" s="23"/>
      <c r="H30" s="23"/>
      <c r="I30" s="162"/>
      <c r="J30" s="162"/>
      <c r="K30" s="162"/>
      <c r="L30" s="151" t="s">
        <v>1</v>
      </c>
      <c r="M30" s="152" t="s">
        <v>41</v>
      </c>
      <c r="N30" s="7"/>
      <c r="O30" s="7"/>
      <c r="P30" s="7"/>
    </row>
    <row r="31" spans="1:16" x14ac:dyDescent="0.2">
      <c r="A31" s="6"/>
      <c r="B31" s="61" t="s">
        <v>0</v>
      </c>
      <c r="C31" s="45"/>
      <c r="D31" s="45"/>
      <c r="E31" s="45"/>
      <c r="F31" s="45"/>
      <c r="G31" s="45"/>
      <c r="H31" s="45"/>
      <c r="I31" s="45"/>
      <c r="J31" s="45"/>
      <c r="K31" s="45"/>
      <c r="L31" s="72">
        <f>SUM(E32:E33)*E6/100</f>
        <v>125</v>
      </c>
      <c r="M31" s="73">
        <f>L31/E5/1000</f>
        <v>5.0000000000000001E-4</v>
      </c>
      <c r="N31" s="7"/>
      <c r="O31" s="7"/>
      <c r="P31" s="7"/>
    </row>
    <row r="32" spans="1:16" x14ac:dyDescent="0.2">
      <c r="A32" s="6"/>
      <c r="B32" s="6"/>
      <c r="C32" s="6" t="s">
        <v>47</v>
      </c>
      <c r="D32" s="6"/>
      <c r="E32" s="189">
        <f>'1_Donnees_de_base_Batiments'!F33</f>
        <v>250</v>
      </c>
      <c r="F32" s="6" t="s">
        <v>16</v>
      </c>
      <c r="G32" s="6"/>
      <c r="H32" s="6"/>
      <c r="I32" s="7"/>
      <c r="J32" s="7"/>
      <c r="K32" s="7"/>
      <c r="L32" s="74"/>
      <c r="M32" s="76"/>
      <c r="N32" s="7"/>
      <c r="O32" s="7"/>
      <c r="P32" s="7"/>
    </row>
    <row r="33" spans="1:16" x14ac:dyDescent="0.2">
      <c r="A33" s="6"/>
      <c r="B33" s="6"/>
      <c r="C33" s="6" t="s">
        <v>48</v>
      </c>
      <c r="D33" s="6"/>
      <c r="E33" s="132">
        <v>0</v>
      </c>
      <c r="F33" s="6" t="s">
        <v>16</v>
      </c>
      <c r="G33" s="6"/>
      <c r="H33" s="6"/>
      <c r="I33" s="7"/>
      <c r="J33" s="7"/>
      <c r="K33" s="7"/>
      <c r="L33" s="74"/>
      <c r="M33" s="76"/>
      <c r="N33" s="7"/>
      <c r="O33" s="7"/>
      <c r="P33" s="7"/>
    </row>
    <row r="34" spans="1:16" x14ac:dyDescent="0.2">
      <c r="A34" s="6"/>
      <c r="B34" s="6"/>
      <c r="C34" s="6"/>
      <c r="D34" s="6"/>
      <c r="E34" s="6"/>
      <c r="F34" s="6"/>
      <c r="G34" s="6"/>
      <c r="H34" s="6"/>
      <c r="I34" s="7"/>
      <c r="J34" s="7"/>
      <c r="K34" s="7"/>
      <c r="L34" s="74"/>
      <c r="M34" s="76"/>
      <c r="N34" s="7"/>
      <c r="O34" s="7"/>
      <c r="P34" s="7"/>
    </row>
    <row r="35" spans="1:16" x14ac:dyDescent="0.2">
      <c r="A35" s="6"/>
      <c r="B35" s="61" t="s">
        <v>147</v>
      </c>
      <c r="C35" s="45"/>
      <c r="D35" s="45"/>
      <c r="E35" s="103">
        <f>E25*0.6*'1_Donnees_de_base_Batiments'!D10/100</f>
        <v>900</v>
      </c>
      <c r="F35" s="45" t="s">
        <v>16</v>
      </c>
      <c r="G35" s="45"/>
      <c r="H35" s="45"/>
      <c r="I35" s="45"/>
      <c r="J35" s="45"/>
      <c r="K35" s="45"/>
      <c r="L35" s="72">
        <f>E35*E6/100</f>
        <v>450</v>
      </c>
      <c r="M35" s="73">
        <f>L35/E5/1000</f>
        <v>1.8E-3</v>
      </c>
      <c r="N35" s="7"/>
      <c r="O35" s="7"/>
      <c r="P35" s="7"/>
    </row>
    <row r="36" spans="1:16" x14ac:dyDescent="0.2">
      <c r="A36" s="6"/>
      <c r="B36" s="6"/>
      <c r="C36" s="6"/>
      <c r="D36" s="6"/>
      <c r="E36" s="6"/>
      <c r="F36" s="6"/>
      <c r="G36" s="6"/>
      <c r="H36" s="6"/>
      <c r="I36" s="7"/>
      <c r="J36" s="7"/>
      <c r="K36" s="7"/>
      <c r="L36" s="74"/>
      <c r="M36" s="76"/>
      <c r="N36" s="7"/>
      <c r="O36" s="7"/>
      <c r="P36" s="7"/>
    </row>
    <row r="37" spans="1:16" x14ac:dyDescent="0.2">
      <c r="A37" s="6"/>
      <c r="B37" s="61" t="s">
        <v>56</v>
      </c>
      <c r="C37" s="45"/>
      <c r="D37" s="45"/>
      <c r="E37" s="45"/>
      <c r="F37" s="45"/>
      <c r="G37" s="45"/>
      <c r="H37" s="45"/>
      <c r="I37" s="45"/>
      <c r="J37" s="45"/>
      <c r="K37" s="45"/>
      <c r="L37" s="72">
        <f>SUM(E38:E39)*E6/100</f>
        <v>0</v>
      </c>
      <c r="M37" s="73">
        <f>L37/E5/1000</f>
        <v>0</v>
      </c>
      <c r="N37" s="7"/>
      <c r="O37" s="7"/>
      <c r="P37" s="7"/>
    </row>
    <row r="38" spans="1:16" x14ac:dyDescent="0.2">
      <c r="A38" s="6"/>
      <c r="B38" s="6"/>
      <c r="C38" s="6" t="s">
        <v>64</v>
      </c>
      <c r="D38" s="6"/>
      <c r="E38" s="132">
        <v>0</v>
      </c>
      <c r="F38" s="6" t="s">
        <v>16</v>
      </c>
      <c r="G38" s="6"/>
      <c r="H38" s="6"/>
      <c r="I38" s="7"/>
      <c r="J38" s="7"/>
      <c r="K38" s="7"/>
      <c r="L38" s="74"/>
      <c r="M38" s="75"/>
      <c r="N38" s="7"/>
      <c r="O38" s="7"/>
      <c r="P38" s="7"/>
    </row>
    <row r="39" spans="1:16" x14ac:dyDescent="0.2">
      <c r="A39" s="6"/>
      <c r="B39" s="6"/>
      <c r="C39" s="6" t="s">
        <v>21</v>
      </c>
      <c r="D39" s="6"/>
      <c r="E39" s="132">
        <v>0</v>
      </c>
      <c r="F39" s="6" t="s">
        <v>16</v>
      </c>
      <c r="G39" s="6"/>
      <c r="H39" s="6"/>
      <c r="I39" s="7"/>
      <c r="J39" s="7"/>
      <c r="K39" s="7"/>
      <c r="L39" s="74"/>
      <c r="M39" s="75"/>
      <c r="N39" s="7"/>
      <c r="O39" s="7"/>
      <c r="P39" s="7"/>
    </row>
    <row r="40" spans="1:16" x14ac:dyDescent="0.2">
      <c r="A40" s="6"/>
      <c r="B40" s="6"/>
      <c r="C40" s="6"/>
      <c r="D40" s="6"/>
      <c r="E40" s="6"/>
      <c r="F40" s="6"/>
      <c r="G40" s="6"/>
      <c r="H40" s="6"/>
      <c r="I40" s="7"/>
      <c r="J40" s="7"/>
      <c r="K40" s="7"/>
      <c r="L40" s="148" t="s">
        <v>1</v>
      </c>
      <c r="M40" s="149" t="s">
        <v>41</v>
      </c>
      <c r="N40" s="7"/>
      <c r="O40" s="7"/>
      <c r="P40" s="7"/>
    </row>
    <row r="41" spans="1:16" x14ac:dyDescent="0.2">
      <c r="A41" s="25" t="s">
        <v>146</v>
      </c>
      <c r="B41" s="14"/>
      <c r="C41" s="14"/>
      <c r="D41" s="14"/>
      <c r="E41" s="14"/>
      <c r="F41" s="14"/>
      <c r="G41" s="14"/>
      <c r="H41" s="14"/>
      <c r="I41" s="14"/>
      <c r="J41" s="14"/>
      <c r="K41" s="14"/>
      <c r="L41" s="77">
        <f>SUM(L10,L17,L21,L23,L31,L35,L37)</f>
        <v>11233.333333333334</v>
      </c>
      <c r="M41" s="78">
        <f>SUM(M10,M17,M21,M23,M31,M35,M37)</f>
        <v>4.4933333333333339E-2</v>
      </c>
      <c r="N41" s="7"/>
      <c r="O41" s="7"/>
      <c r="P41" s="7"/>
    </row>
    <row r="42" spans="1:16" x14ac:dyDescent="0.2">
      <c r="A42" s="7"/>
      <c r="B42" s="7"/>
      <c r="C42" s="7"/>
      <c r="D42" s="7"/>
      <c r="E42" s="7"/>
      <c r="F42" s="7"/>
      <c r="G42" s="7"/>
      <c r="H42" s="7"/>
      <c r="I42" s="7"/>
      <c r="J42" s="7"/>
      <c r="K42" s="7"/>
      <c r="L42" s="7"/>
      <c r="M42" s="7"/>
      <c r="N42" s="7"/>
      <c r="O42" s="7"/>
      <c r="P42" s="7"/>
    </row>
    <row r="43" spans="1:16" x14ac:dyDescent="0.2">
      <c r="A43" s="7"/>
      <c r="B43" s="7"/>
      <c r="C43" s="7"/>
      <c r="D43" s="7"/>
      <c r="E43" s="7"/>
      <c r="F43" s="7"/>
      <c r="G43" s="7"/>
      <c r="H43" s="7"/>
      <c r="I43" s="7"/>
      <c r="J43" s="7"/>
      <c r="K43" s="7"/>
      <c r="L43" s="7"/>
      <c r="M43" s="7"/>
      <c r="N43" s="7"/>
      <c r="O43" s="7"/>
      <c r="P43" s="7"/>
    </row>
    <row r="44" spans="1:16" x14ac:dyDescent="0.2">
      <c r="A44" s="7"/>
      <c r="B44" s="7"/>
      <c r="C44" s="7"/>
      <c r="D44" s="7"/>
      <c r="E44" s="7"/>
      <c r="F44" s="7"/>
      <c r="G44" s="7"/>
      <c r="H44" s="7"/>
      <c r="I44" s="7"/>
      <c r="J44" s="7"/>
      <c r="K44" s="7"/>
      <c r="L44" s="7"/>
      <c r="M44" s="7"/>
      <c r="N44" s="7"/>
      <c r="O44" s="7"/>
      <c r="P44" s="7"/>
    </row>
    <row r="45" spans="1:16" x14ac:dyDescent="0.2">
      <c r="A45" s="7"/>
      <c r="B45" s="7"/>
      <c r="C45" s="7"/>
      <c r="D45" s="7"/>
      <c r="E45" s="7"/>
      <c r="F45" s="7"/>
      <c r="G45" s="7"/>
      <c r="H45" s="7"/>
      <c r="I45" s="7"/>
      <c r="J45" s="7"/>
      <c r="K45" s="7"/>
      <c r="L45" s="7"/>
      <c r="M45" s="7"/>
      <c r="N45" s="7"/>
      <c r="O45" s="7"/>
      <c r="P45" s="7"/>
    </row>
    <row r="46" spans="1:16" x14ac:dyDescent="0.2">
      <c r="A46" s="7"/>
      <c r="B46" s="7"/>
      <c r="C46" s="7"/>
      <c r="D46" s="7"/>
      <c r="E46" s="7"/>
      <c r="F46" s="7"/>
      <c r="G46" s="7"/>
      <c r="H46" s="7"/>
      <c r="I46" s="7"/>
      <c r="J46" s="7"/>
      <c r="K46" s="7"/>
      <c r="L46" s="7"/>
      <c r="M46" s="7"/>
      <c r="N46" s="7"/>
      <c r="O46" s="7"/>
      <c r="P46" s="7"/>
    </row>
    <row r="47" spans="1:16" x14ac:dyDescent="0.2">
      <c r="A47" s="7"/>
      <c r="B47" s="7"/>
      <c r="C47" s="7"/>
      <c r="D47" s="7"/>
      <c r="E47" s="7"/>
      <c r="F47" s="7"/>
      <c r="G47" s="7"/>
      <c r="H47" s="7"/>
      <c r="I47" s="7"/>
      <c r="J47" s="7"/>
      <c r="K47" s="7"/>
      <c r="L47" s="7"/>
      <c r="M47" s="7"/>
      <c r="N47" s="7"/>
      <c r="O47" s="7"/>
      <c r="P47" s="7"/>
    </row>
    <row r="48" spans="1:16" x14ac:dyDescent="0.2">
      <c r="A48" s="7"/>
      <c r="B48" s="7"/>
      <c r="C48" s="7"/>
      <c r="D48" s="7"/>
      <c r="E48" s="7"/>
      <c r="F48" s="7"/>
      <c r="G48" s="7"/>
      <c r="H48" s="7"/>
      <c r="I48" s="7"/>
      <c r="J48" s="7"/>
      <c r="K48" s="7"/>
      <c r="L48" s="7"/>
      <c r="M48" s="7"/>
      <c r="N48" s="7"/>
      <c r="O48" s="7"/>
      <c r="P48" s="7"/>
    </row>
    <row r="49" spans="1:16" x14ac:dyDescent="0.2">
      <c r="A49" s="7"/>
      <c r="B49" s="7"/>
      <c r="C49" s="7"/>
      <c r="D49" s="7"/>
      <c r="E49" s="7"/>
      <c r="F49" s="7"/>
      <c r="G49" s="7"/>
      <c r="H49" s="7"/>
      <c r="I49" s="7"/>
      <c r="J49" s="7"/>
      <c r="K49" s="7"/>
      <c r="L49" s="7"/>
      <c r="M49" s="7"/>
      <c r="N49" s="7"/>
      <c r="O49" s="7"/>
      <c r="P49" s="7"/>
    </row>
    <row r="50" spans="1:16" x14ac:dyDescent="0.2">
      <c r="A50" s="7"/>
      <c r="B50" s="7"/>
      <c r="C50" s="7"/>
      <c r="D50" s="7"/>
      <c r="E50" s="7"/>
      <c r="F50" s="7"/>
      <c r="G50" s="7"/>
      <c r="H50" s="7"/>
      <c r="I50" s="7"/>
      <c r="J50" s="7"/>
      <c r="K50" s="7"/>
      <c r="L50" s="7"/>
      <c r="M50" s="7"/>
      <c r="N50" s="7"/>
      <c r="O50" s="7"/>
      <c r="P50" s="7"/>
    </row>
    <row r="51" spans="1:16" x14ac:dyDescent="0.2">
      <c r="A51" s="7"/>
      <c r="B51" s="7"/>
      <c r="C51" s="7"/>
      <c r="D51" s="7"/>
      <c r="E51" s="7"/>
      <c r="F51" s="7"/>
      <c r="G51" s="7"/>
      <c r="H51" s="7"/>
      <c r="I51" s="7"/>
      <c r="J51" s="7"/>
      <c r="K51" s="7"/>
      <c r="L51" s="7"/>
      <c r="M51" s="7"/>
      <c r="N51" s="7"/>
      <c r="O51" s="7"/>
      <c r="P51" s="7"/>
    </row>
    <row r="52" spans="1:16" x14ac:dyDescent="0.2">
      <c r="A52" s="7"/>
      <c r="B52" s="7"/>
      <c r="C52" s="7"/>
      <c r="D52" s="7"/>
      <c r="E52" s="7"/>
      <c r="F52" s="7"/>
      <c r="G52" s="7"/>
      <c r="H52" s="7"/>
      <c r="I52" s="7"/>
      <c r="J52" s="7"/>
      <c r="K52" s="7"/>
      <c r="L52" s="7"/>
      <c r="M52" s="7"/>
      <c r="N52" s="7"/>
      <c r="O52" s="7"/>
      <c r="P52" s="7"/>
    </row>
    <row r="53" spans="1:16" x14ac:dyDescent="0.2">
      <c r="A53" s="7"/>
      <c r="B53" s="7"/>
      <c r="C53" s="7"/>
      <c r="D53" s="7"/>
      <c r="E53" s="7"/>
      <c r="F53" s="7"/>
      <c r="G53" s="7"/>
      <c r="H53" s="7"/>
      <c r="I53" s="7"/>
      <c r="J53" s="7"/>
      <c r="K53" s="7"/>
      <c r="L53" s="7"/>
      <c r="M53" s="7"/>
      <c r="N53" s="7"/>
      <c r="O53" s="7"/>
      <c r="P53" s="7"/>
    </row>
    <row r="54" spans="1:16" x14ac:dyDescent="0.2">
      <c r="A54" s="7"/>
      <c r="B54" s="7"/>
      <c r="C54" s="7"/>
      <c r="D54" s="7"/>
      <c r="E54" s="7"/>
      <c r="F54" s="7"/>
      <c r="G54" s="7"/>
      <c r="H54" s="7"/>
      <c r="I54" s="7"/>
      <c r="J54" s="7"/>
      <c r="K54" s="7"/>
      <c r="L54" s="7"/>
      <c r="M54" s="7"/>
      <c r="N54" s="7"/>
      <c r="O54" s="7"/>
      <c r="P54" s="7"/>
    </row>
    <row r="55" spans="1:16" x14ac:dyDescent="0.2">
      <c r="A55" s="7"/>
      <c r="B55" s="7"/>
      <c r="C55" s="7"/>
      <c r="D55" s="7"/>
      <c r="E55" s="7"/>
      <c r="F55" s="7"/>
      <c r="G55" s="7"/>
      <c r="H55" s="7"/>
      <c r="I55" s="7"/>
      <c r="J55" s="7"/>
      <c r="K55" s="7"/>
      <c r="L55" s="7"/>
      <c r="M55" s="7"/>
      <c r="N55" s="7"/>
      <c r="O55" s="7"/>
      <c r="P55" s="7"/>
    </row>
    <row r="56" spans="1:16" x14ac:dyDescent="0.2">
      <c r="A56" s="7"/>
      <c r="B56" s="7"/>
      <c r="C56" s="7"/>
      <c r="D56" s="7"/>
      <c r="E56" s="7"/>
      <c r="F56" s="7"/>
      <c r="G56" s="7"/>
      <c r="H56" s="7"/>
      <c r="I56" s="7"/>
      <c r="J56" s="7"/>
      <c r="K56" s="7"/>
      <c r="L56" s="7"/>
      <c r="M56" s="7"/>
      <c r="N56" s="7"/>
      <c r="O56" s="7"/>
      <c r="P56" s="7"/>
    </row>
    <row r="57" spans="1:16" x14ac:dyDescent="0.2">
      <c r="A57" s="7"/>
      <c r="B57" s="7"/>
      <c r="C57" s="7"/>
      <c r="D57" s="7"/>
      <c r="E57" s="7"/>
      <c r="F57" s="7"/>
      <c r="G57" s="7"/>
      <c r="H57" s="7"/>
      <c r="I57" s="7"/>
      <c r="J57" s="7"/>
      <c r="K57" s="7"/>
      <c r="L57" s="7"/>
      <c r="M57" s="7"/>
      <c r="N57" s="7"/>
      <c r="O57" s="7"/>
      <c r="P57" s="7"/>
    </row>
    <row r="58" spans="1:16" x14ac:dyDescent="0.2">
      <c r="A58" s="7"/>
      <c r="B58" s="7"/>
      <c r="C58" s="7"/>
      <c r="D58" s="7"/>
      <c r="E58" s="7"/>
      <c r="F58" s="7"/>
      <c r="G58" s="7"/>
      <c r="H58" s="7"/>
      <c r="I58" s="7"/>
      <c r="J58" s="7"/>
      <c r="K58" s="7"/>
      <c r="L58" s="7"/>
      <c r="M58" s="7"/>
      <c r="N58" s="7"/>
      <c r="O58" s="7"/>
      <c r="P58" s="7"/>
    </row>
    <row r="59" spans="1:16" x14ac:dyDescent="0.2">
      <c r="A59" s="7"/>
      <c r="B59" s="7"/>
      <c r="C59" s="7"/>
      <c r="D59" s="7"/>
      <c r="E59" s="7"/>
      <c r="F59" s="7"/>
      <c r="G59" s="7"/>
      <c r="H59" s="7"/>
      <c r="I59" s="7"/>
      <c r="J59" s="7"/>
      <c r="K59" s="7"/>
      <c r="L59" s="7"/>
      <c r="M59" s="7"/>
      <c r="N59" s="7"/>
      <c r="O59" s="7"/>
      <c r="P59" s="7"/>
    </row>
    <row r="60" spans="1:16" x14ac:dyDescent="0.2">
      <c r="A60" s="7"/>
      <c r="B60" s="7"/>
      <c r="C60" s="7"/>
      <c r="D60" s="7"/>
      <c r="E60" s="7"/>
      <c r="F60" s="7"/>
      <c r="G60" s="7"/>
      <c r="H60" s="7"/>
      <c r="I60" s="7"/>
      <c r="J60" s="7"/>
      <c r="K60" s="7"/>
      <c r="L60" s="7"/>
      <c r="M60" s="7"/>
      <c r="N60" s="7"/>
      <c r="O60" s="7"/>
      <c r="P60" s="7"/>
    </row>
    <row r="61" spans="1:16" x14ac:dyDescent="0.2">
      <c r="A61" s="7"/>
      <c r="B61" s="7"/>
      <c r="C61" s="7"/>
      <c r="D61" s="7"/>
      <c r="E61" s="7"/>
      <c r="F61" s="7"/>
      <c r="G61" s="7"/>
      <c r="H61" s="7"/>
      <c r="I61" s="7"/>
      <c r="J61" s="7"/>
      <c r="K61" s="7"/>
      <c r="L61" s="7"/>
      <c r="M61" s="7"/>
      <c r="N61" s="7"/>
      <c r="O61" s="7"/>
      <c r="P61" s="7"/>
    </row>
    <row r="62" spans="1:16" x14ac:dyDescent="0.2">
      <c r="A62" s="7"/>
      <c r="B62" s="7"/>
      <c r="C62" s="7"/>
      <c r="D62" s="7"/>
      <c r="E62" s="7"/>
      <c r="F62" s="7"/>
      <c r="G62" s="7"/>
      <c r="H62" s="7"/>
      <c r="I62" s="7"/>
      <c r="J62" s="7"/>
      <c r="K62" s="7"/>
      <c r="L62" s="7"/>
      <c r="M62" s="7"/>
      <c r="N62" s="7"/>
      <c r="O62" s="7"/>
      <c r="P62" s="7"/>
    </row>
    <row r="63" spans="1:16" x14ac:dyDescent="0.2">
      <c r="A63" s="7"/>
      <c r="B63" s="7"/>
      <c r="C63" s="7"/>
      <c r="D63" s="7"/>
      <c r="E63" s="7"/>
      <c r="F63" s="7"/>
      <c r="G63" s="7"/>
      <c r="H63" s="7"/>
      <c r="I63" s="7"/>
      <c r="J63" s="7"/>
      <c r="K63" s="7"/>
      <c r="L63" s="7"/>
      <c r="M63" s="7"/>
      <c r="N63" s="7"/>
      <c r="O63" s="7"/>
      <c r="P63" s="7"/>
    </row>
    <row r="64" spans="1:16" x14ac:dyDescent="0.2">
      <c r="A64" s="7"/>
      <c r="B64" s="7"/>
      <c r="C64" s="7"/>
      <c r="D64" s="7"/>
      <c r="E64" s="7"/>
      <c r="F64" s="7"/>
      <c r="G64" s="7"/>
      <c r="H64" s="7"/>
      <c r="I64" s="7"/>
      <c r="J64" s="7"/>
      <c r="K64" s="7"/>
      <c r="L64" s="7"/>
      <c r="M64" s="7"/>
      <c r="N64" s="7"/>
      <c r="O64" s="7"/>
      <c r="P64" s="7"/>
    </row>
    <row r="65" spans="1:16" x14ac:dyDescent="0.2">
      <c r="A65" s="7"/>
      <c r="B65" s="7"/>
      <c r="C65" s="7"/>
      <c r="D65" s="7"/>
      <c r="E65" s="7"/>
      <c r="F65" s="7"/>
      <c r="G65" s="7"/>
      <c r="H65" s="7"/>
      <c r="I65" s="7"/>
      <c r="J65" s="7"/>
      <c r="K65" s="7"/>
      <c r="L65" s="7"/>
      <c r="M65" s="7"/>
      <c r="N65" s="7"/>
      <c r="O65" s="7"/>
      <c r="P65" s="7"/>
    </row>
    <row r="66" spans="1:16" x14ac:dyDescent="0.2">
      <c r="A66" s="7"/>
      <c r="B66" s="7"/>
      <c r="C66" s="7"/>
      <c r="D66" s="7"/>
      <c r="E66" s="7"/>
      <c r="F66" s="7"/>
      <c r="G66" s="7"/>
      <c r="H66" s="7"/>
      <c r="I66" s="7"/>
      <c r="J66" s="7"/>
      <c r="K66" s="7"/>
      <c r="L66" s="7"/>
      <c r="M66" s="7"/>
      <c r="N66" s="7"/>
      <c r="O66" s="7"/>
      <c r="P66" s="7"/>
    </row>
    <row r="67" spans="1:16" x14ac:dyDescent="0.2">
      <c r="A67" s="7"/>
      <c r="B67" s="7"/>
      <c r="C67" s="7"/>
      <c r="D67" s="7"/>
      <c r="E67" s="7"/>
      <c r="F67" s="7"/>
      <c r="G67" s="7"/>
      <c r="H67" s="7"/>
      <c r="I67" s="7"/>
      <c r="J67" s="7"/>
      <c r="K67" s="7"/>
      <c r="L67" s="7"/>
      <c r="M67" s="7"/>
      <c r="N67" s="7"/>
      <c r="O67" s="7"/>
      <c r="P67" s="7"/>
    </row>
    <row r="68" spans="1:16" x14ac:dyDescent="0.2">
      <c r="A68" s="7"/>
      <c r="B68" s="7"/>
      <c r="C68" s="7"/>
      <c r="D68" s="7"/>
      <c r="E68" s="7"/>
      <c r="F68" s="7"/>
      <c r="G68" s="7"/>
      <c r="H68" s="7"/>
      <c r="I68" s="7"/>
      <c r="J68" s="7"/>
      <c r="K68" s="7"/>
      <c r="L68" s="7"/>
      <c r="M68" s="7"/>
      <c r="N68" s="7"/>
      <c r="O68" s="7"/>
      <c r="P68" s="7"/>
    </row>
    <row r="69" spans="1:16" x14ac:dyDescent="0.2">
      <c r="A69" s="7"/>
      <c r="B69" s="7"/>
      <c r="C69" s="7"/>
      <c r="D69" s="7"/>
      <c r="E69" s="7"/>
      <c r="F69" s="7"/>
      <c r="G69" s="7"/>
      <c r="H69" s="7"/>
      <c r="I69" s="7"/>
      <c r="J69" s="7"/>
      <c r="K69" s="7"/>
      <c r="L69" s="7"/>
      <c r="M69" s="7"/>
      <c r="N69" s="7"/>
      <c r="O69" s="7"/>
      <c r="P69" s="7"/>
    </row>
    <row r="70" spans="1:16" x14ac:dyDescent="0.2">
      <c r="A70" s="7"/>
      <c r="B70" s="7"/>
      <c r="C70" s="7"/>
      <c r="D70" s="7"/>
      <c r="E70" s="7"/>
      <c r="F70" s="7"/>
      <c r="G70" s="7"/>
      <c r="H70" s="7"/>
      <c r="I70" s="7"/>
      <c r="J70" s="7"/>
      <c r="K70" s="7"/>
      <c r="L70" s="7"/>
      <c r="M70" s="7"/>
      <c r="N70" s="7"/>
      <c r="O70" s="7"/>
      <c r="P70" s="7"/>
    </row>
    <row r="71" spans="1:16" x14ac:dyDescent="0.2">
      <c r="A71" s="7"/>
      <c r="B71" s="7"/>
      <c r="C71" s="7"/>
      <c r="D71" s="7"/>
      <c r="E71" s="7"/>
      <c r="F71" s="7"/>
      <c r="G71" s="7"/>
      <c r="H71" s="7"/>
      <c r="I71" s="7"/>
      <c r="J71" s="7"/>
      <c r="K71" s="7"/>
      <c r="L71" s="7"/>
      <c r="M71" s="7"/>
      <c r="N71" s="7"/>
      <c r="O71" s="7"/>
      <c r="P71" s="7"/>
    </row>
    <row r="72" spans="1:16" x14ac:dyDescent="0.2">
      <c r="A72" s="7"/>
      <c r="B72" s="7"/>
      <c r="C72" s="7"/>
      <c r="D72" s="7"/>
      <c r="E72" s="7"/>
      <c r="F72" s="7"/>
      <c r="G72" s="7"/>
      <c r="H72" s="7"/>
      <c r="I72" s="7"/>
      <c r="J72" s="7"/>
      <c r="K72" s="7"/>
      <c r="L72" s="7"/>
      <c r="M72" s="7"/>
      <c r="N72" s="7"/>
      <c r="O72" s="7"/>
      <c r="P72" s="7"/>
    </row>
    <row r="73" spans="1:16" x14ac:dyDescent="0.2">
      <c r="A73" s="7"/>
      <c r="B73" s="7"/>
      <c r="C73" s="7"/>
      <c r="D73" s="7"/>
      <c r="E73" s="7"/>
      <c r="F73" s="7"/>
      <c r="G73" s="7"/>
      <c r="H73" s="7"/>
      <c r="I73" s="7"/>
      <c r="J73" s="7"/>
      <c r="K73" s="7"/>
      <c r="L73" s="7"/>
      <c r="M73" s="7"/>
      <c r="N73" s="7"/>
      <c r="O73" s="7"/>
      <c r="P73" s="7"/>
    </row>
    <row r="74" spans="1:16" x14ac:dyDescent="0.2">
      <c r="A74" s="7"/>
      <c r="B74" s="7"/>
      <c r="C74" s="7"/>
      <c r="D74" s="7"/>
      <c r="E74" s="7"/>
      <c r="F74" s="7"/>
      <c r="G74" s="7"/>
      <c r="H74" s="7"/>
      <c r="I74" s="7"/>
      <c r="J74" s="7"/>
      <c r="K74" s="7"/>
      <c r="L74" s="7"/>
      <c r="M74" s="7"/>
      <c r="N74" s="7"/>
      <c r="O74" s="7"/>
      <c r="P74" s="7"/>
    </row>
    <row r="75" spans="1:16" x14ac:dyDescent="0.2">
      <c r="A75" s="7"/>
      <c r="B75" s="7"/>
      <c r="C75" s="7"/>
      <c r="D75" s="7"/>
      <c r="E75" s="7"/>
      <c r="F75" s="7"/>
      <c r="G75" s="7"/>
      <c r="H75" s="7"/>
      <c r="I75" s="7"/>
      <c r="J75" s="7"/>
      <c r="K75" s="7"/>
      <c r="L75" s="7"/>
      <c r="M75" s="7"/>
      <c r="N75" s="7"/>
      <c r="O75" s="7"/>
      <c r="P75" s="7"/>
    </row>
    <row r="76" spans="1:16" x14ac:dyDescent="0.2">
      <c r="A76" s="7"/>
      <c r="B76" s="7"/>
      <c r="C76" s="7"/>
      <c r="D76" s="7"/>
      <c r="E76" s="7"/>
      <c r="F76" s="7"/>
      <c r="G76" s="7"/>
      <c r="H76" s="7"/>
      <c r="I76" s="7"/>
      <c r="J76" s="7"/>
      <c r="K76" s="7"/>
      <c r="L76" s="7"/>
      <c r="M76" s="7"/>
      <c r="N76" s="7"/>
      <c r="O76" s="7"/>
      <c r="P76" s="7"/>
    </row>
    <row r="77" spans="1:16" x14ac:dyDescent="0.2">
      <c r="A77" s="7"/>
      <c r="B77" s="7"/>
      <c r="C77" s="7"/>
      <c r="D77" s="7"/>
      <c r="E77" s="7"/>
      <c r="F77" s="7"/>
      <c r="G77" s="7"/>
      <c r="H77" s="7"/>
      <c r="I77" s="7"/>
      <c r="J77" s="7"/>
      <c r="K77" s="7"/>
      <c r="L77" s="7"/>
      <c r="M77" s="7"/>
      <c r="N77" s="7"/>
      <c r="O77" s="7"/>
      <c r="P77" s="7"/>
    </row>
    <row r="78" spans="1:16" x14ac:dyDescent="0.2">
      <c r="A78" s="7"/>
      <c r="B78" s="7"/>
      <c r="C78" s="7"/>
      <c r="D78" s="7"/>
      <c r="E78" s="7"/>
      <c r="F78" s="7"/>
      <c r="G78" s="7"/>
      <c r="H78" s="7"/>
      <c r="I78" s="7"/>
      <c r="J78" s="7"/>
      <c r="K78" s="7"/>
      <c r="L78" s="7"/>
      <c r="M78" s="7"/>
      <c r="N78" s="7"/>
      <c r="O78" s="7"/>
      <c r="P78" s="7"/>
    </row>
    <row r="79" spans="1:16" x14ac:dyDescent="0.2">
      <c r="A79" s="7"/>
      <c r="B79" s="7"/>
      <c r="C79" s="7"/>
      <c r="D79" s="7"/>
      <c r="E79" s="7"/>
      <c r="F79" s="7"/>
      <c r="G79" s="7"/>
      <c r="H79" s="7"/>
      <c r="I79" s="7"/>
      <c r="J79" s="7"/>
      <c r="K79" s="7"/>
      <c r="L79" s="7"/>
      <c r="M79" s="7"/>
      <c r="N79" s="7"/>
      <c r="O79" s="7"/>
      <c r="P79" s="7"/>
    </row>
    <row r="80" spans="1:16" x14ac:dyDescent="0.2">
      <c r="A80" s="7"/>
      <c r="B80" s="7"/>
      <c r="C80" s="7"/>
      <c r="D80" s="7"/>
      <c r="E80" s="7"/>
      <c r="F80" s="7"/>
      <c r="G80" s="7"/>
      <c r="H80" s="7"/>
      <c r="I80" s="7"/>
      <c r="J80" s="7"/>
      <c r="K80" s="7"/>
      <c r="L80" s="7"/>
      <c r="M80" s="7"/>
      <c r="N80" s="7"/>
      <c r="O80" s="7"/>
      <c r="P80" s="7"/>
    </row>
    <row r="81" spans="1:16" x14ac:dyDescent="0.2">
      <c r="A81" s="7"/>
      <c r="B81" s="7"/>
      <c r="C81" s="7"/>
      <c r="D81" s="7"/>
      <c r="E81" s="7"/>
      <c r="F81" s="7"/>
      <c r="G81" s="7"/>
      <c r="H81" s="7"/>
      <c r="I81" s="7"/>
      <c r="J81" s="7"/>
      <c r="K81" s="7"/>
      <c r="L81" s="7"/>
      <c r="M81" s="7"/>
      <c r="N81" s="7"/>
      <c r="O81" s="7"/>
      <c r="P81" s="7"/>
    </row>
    <row r="82" spans="1:16" x14ac:dyDescent="0.2">
      <c r="A82" s="7"/>
      <c r="B82" s="7"/>
      <c r="C82" s="7"/>
      <c r="D82" s="7"/>
      <c r="E82" s="7"/>
      <c r="F82" s="7"/>
      <c r="G82" s="7"/>
      <c r="H82" s="7"/>
      <c r="I82" s="7"/>
      <c r="J82" s="7"/>
      <c r="K82" s="7"/>
      <c r="L82" s="7"/>
      <c r="M82" s="7"/>
      <c r="N82" s="7"/>
      <c r="O82" s="7"/>
      <c r="P82" s="7"/>
    </row>
    <row r="83" spans="1:16" x14ac:dyDescent="0.2">
      <c r="A83" s="7"/>
      <c r="B83" s="7"/>
      <c r="C83" s="7"/>
      <c r="D83" s="7"/>
      <c r="E83" s="7"/>
      <c r="F83" s="7"/>
      <c r="G83" s="7"/>
      <c r="H83" s="7"/>
      <c r="I83" s="7"/>
      <c r="J83" s="7"/>
      <c r="K83" s="7"/>
      <c r="L83" s="7"/>
      <c r="M83" s="7"/>
      <c r="N83" s="7"/>
      <c r="O83" s="7"/>
      <c r="P83" s="7"/>
    </row>
    <row r="84" spans="1:16" x14ac:dyDescent="0.2">
      <c r="A84" s="7"/>
      <c r="B84" s="7"/>
      <c r="C84" s="7"/>
      <c r="D84" s="7"/>
      <c r="E84" s="7"/>
      <c r="F84" s="7"/>
      <c r="G84" s="7"/>
      <c r="H84" s="7"/>
      <c r="I84" s="7"/>
      <c r="J84" s="7"/>
      <c r="K84" s="7"/>
      <c r="L84" s="7"/>
      <c r="M84" s="7"/>
      <c r="N84" s="7"/>
      <c r="O84" s="7"/>
      <c r="P84" s="7"/>
    </row>
    <row r="85" spans="1:16" x14ac:dyDescent="0.2">
      <c r="A85" s="7"/>
      <c r="B85" s="7"/>
      <c r="C85" s="7"/>
      <c r="D85" s="7"/>
      <c r="E85" s="7"/>
      <c r="F85" s="7"/>
      <c r="G85" s="7"/>
      <c r="H85" s="7"/>
      <c r="I85" s="7"/>
      <c r="J85" s="7"/>
      <c r="K85" s="7"/>
      <c r="L85" s="7"/>
      <c r="M85" s="7"/>
      <c r="N85" s="7"/>
      <c r="O85" s="7"/>
      <c r="P85" s="7"/>
    </row>
    <row r="86" spans="1:16" x14ac:dyDescent="0.2">
      <c r="A86" s="7"/>
      <c r="B86" s="7"/>
      <c r="C86" s="7"/>
      <c r="D86" s="7"/>
      <c r="E86" s="7"/>
      <c r="F86" s="7"/>
      <c r="G86" s="7"/>
      <c r="H86" s="7"/>
      <c r="I86" s="7"/>
      <c r="J86" s="7"/>
      <c r="K86" s="7"/>
      <c r="L86" s="7"/>
      <c r="M86" s="7"/>
      <c r="N86" s="7"/>
      <c r="O86" s="7"/>
      <c r="P86" s="7"/>
    </row>
    <row r="87" spans="1:16" x14ac:dyDescent="0.2">
      <c r="A87" s="7"/>
      <c r="B87" s="7"/>
      <c r="C87" s="7"/>
      <c r="D87" s="7"/>
      <c r="E87" s="7"/>
      <c r="F87" s="7"/>
      <c r="G87" s="7"/>
      <c r="H87" s="7"/>
      <c r="I87" s="7"/>
      <c r="J87" s="7"/>
      <c r="K87" s="7"/>
      <c r="L87" s="7"/>
      <c r="M87" s="7"/>
      <c r="N87" s="7"/>
      <c r="O87" s="7"/>
      <c r="P87" s="7"/>
    </row>
    <row r="88" spans="1:16" x14ac:dyDescent="0.2">
      <c r="A88" s="7"/>
      <c r="B88" s="7"/>
      <c r="C88" s="7"/>
      <c r="D88" s="7"/>
      <c r="E88" s="7"/>
      <c r="F88" s="7"/>
      <c r="G88" s="7"/>
      <c r="H88" s="7"/>
      <c r="I88" s="7"/>
      <c r="J88" s="7"/>
      <c r="K88" s="7"/>
      <c r="L88" s="7"/>
      <c r="M88" s="7"/>
      <c r="N88" s="7"/>
      <c r="O88" s="7"/>
      <c r="P88" s="7"/>
    </row>
    <row r="89" spans="1:16" x14ac:dyDescent="0.2">
      <c r="A89" s="7"/>
      <c r="B89" s="7"/>
      <c r="C89" s="7"/>
      <c r="D89" s="7"/>
      <c r="E89" s="7"/>
      <c r="F89" s="7"/>
      <c r="G89" s="7"/>
      <c r="H89" s="7"/>
      <c r="I89" s="7"/>
      <c r="J89" s="7"/>
      <c r="K89" s="7"/>
      <c r="L89" s="7"/>
      <c r="M89" s="7"/>
      <c r="N89" s="7"/>
      <c r="O89" s="7"/>
      <c r="P89" s="7"/>
    </row>
    <row r="90" spans="1:16" x14ac:dyDescent="0.2">
      <c r="A90" s="7"/>
      <c r="B90" s="7"/>
      <c r="C90" s="7"/>
      <c r="D90" s="7"/>
      <c r="E90" s="7"/>
      <c r="F90" s="7"/>
      <c r="G90" s="7"/>
      <c r="H90" s="7"/>
      <c r="I90" s="7"/>
      <c r="J90" s="7"/>
      <c r="K90" s="7"/>
      <c r="L90" s="7"/>
      <c r="M90" s="7"/>
      <c r="N90" s="7"/>
      <c r="O90" s="7"/>
      <c r="P90" s="7"/>
    </row>
    <row r="91" spans="1:16" x14ac:dyDescent="0.2">
      <c r="A91" s="7"/>
      <c r="B91" s="7"/>
      <c r="C91" s="7"/>
      <c r="D91" s="7"/>
      <c r="E91" s="7"/>
      <c r="F91" s="7"/>
      <c r="G91" s="7"/>
      <c r="H91" s="7"/>
      <c r="I91" s="7"/>
      <c r="J91" s="7"/>
      <c r="K91" s="7"/>
      <c r="L91" s="7"/>
      <c r="M91" s="7"/>
      <c r="N91" s="7"/>
      <c r="O91" s="7"/>
      <c r="P91" s="7"/>
    </row>
    <row r="92" spans="1:16" x14ac:dyDescent="0.2">
      <c r="A92" s="7"/>
      <c r="B92" s="7"/>
      <c r="C92" s="7"/>
      <c r="D92" s="7"/>
      <c r="E92" s="7"/>
      <c r="F92" s="7"/>
      <c r="G92" s="7"/>
      <c r="H92" s="7"/>
      <c r="I92" s="7"/>
      <c r="J92" s="7"/>
      <c r="K92" s="7"/>
      <c r="L92" s="7"/>
      <c r="M92" s="7"/>
      <c r="N92" s="7"/>
      <c r="O92" s="7"/>
      <c r="P92" s="7"/>
    </row>
    <row r="93" spans="1:16" x14ac:dyDescent="0.2">
      <c r="A93" s="7"/>
      <c r="B93" s="7"/>
      <c r="C93" s="7"/>
      <c r="D93" s="7"/>
      <c r="E93" s="7"/>
      <c r="F93" s="7"/>
      <c r="G93" s="7"/>
      <c r="H93" s="7"/>
      <c r="I93" s="7"/>
      <c r="J93" s="7"/>
      <c r="K93" s="7"/>
      <c r="L93" s="7"/>
      <c r="M93" s="7"/>
      <c r="N93" s="7"/>
      <c r="O93" s="7"/>
      <c r="P93" s="7"/>
    </row>
    <row r="94" spans="1:16" x14ac:dyDescent="0.2">
      <c r="A94" s="7"/>
      <c r="B94" s="7"/>
      <c r="C94" s="7"/>
      <c r="D94" s="7"/>
      <c r="E94" s="7"/>
      <c r="F94" s="7"/>
      <c r="G94" s="7"/>
      <c r="H94" s="7"/>
      <c r="I94" s="7"/>
      <c r="J94" s="7"/>
      <c r="K94" s="7"/>
      <c r="L94" s="7"/>
      <c r="M94" s="7"/>
      <c r="N94" s="7"/>
      <c r="O94" s="7"/>
      <c r="P94" s="7"/>
    </row>
    <row r="95" spans="1:16" x14ac:dyDescent="0.2">
      <c r="A95" s="7"/>
      <c r="B95" s="7"/>
      <c r="C95" s="7"/>
      <c r="D95" s="7"/>
      <c r="E95" s="7"/>
      <c r="F95" s="7"/>
      <c r="G95" s="7"/>
      <c r="H95" s="7"/>
      <c r="I95" s="7"/>
      <c r="J95" s="7"/>
      <c r="K95" s="7"/>
      <c r="L95" s="7"/>
      <c r="M95" s="7"/>
      <c r="N95" s="7"/>
      <c r="O95" s="7"/>
      <c r="P95" s="7"/>
    </row>
    <row r="96" spans="1:16" x14ac:dyDescent="0.2">
      <c r="A96" s="7"/>
      <c r="B96" s="7"/>
      <c r="C96" s="7"/>
      <c r="D96" s="7"/>
      <c r="E96" s="7"/>
      <c r="F96" s="7"/>
      <c r="G96" s="7"/>
      <c r="H96" s="7"/>
      <c r="I96" s="7"/>
      <c r="J96" s="7"/>
      <c r="K96" s="7"/>
      <c r="L96" s="7"/>
      <c r="M96" s="7"/>
      <c r="N96" s="7"/>
      <c r="O96" s="7"/>
      <c r="P96" s="7"/>
    </row>
    <row r="97" spans="1:16" x14ac:dyDescent="0.2">
      <c r="A97" s="7"/>
      <c r="B97" s="7"/>
      <c r="C97" s="7"/>
      <c r="D97" s="7"/>
      <c r="E97" s="7"/>
      <c r="F97" s="7"/>
      <c r="G97" s="7"/>
      <c r="H97" s="7"/>
      <c r="I97" s="7"/>
      <c r="J97" s="7"/>
      <c r="K97" s="7"/>
      <c r="L97" s="7"/>
      <c r="M97" s="7"/>
      <c r="N97" s="7"/>
      <c r="O97" s="7"/>
      <c r="P97" s="7"/>
    </row>
    <row r="98" spans="1:16" x14ac:dyDescent="0.2">
      <c r="A98" s="7"/>
      <c r="B98" s="7"/>
      <c r="C98" s="7"/>
      <c r="D98" s="7"/>
      <c r="E98" s="7"/>
      <c r="F98" s="7"/>
      <c r="G98" s="7"/>
      <c r="H98" s="7"/>
      <c r="I98" s="7"/>
      <c r="J98" s="7"/>
      <c r="K98" s="7"/>
      <c r="L98" s="7"/>
      <c r="M98" s="7"/>
      <c r="N98" s="7"/>
      <c r="O98" s="7"/>
      <c r="P98" s="7"/>
    </row>
    <row r="99" spans="1:16" x14ac:dyDescent="0.2">
      <c r="A99" s="7"/>
      <c r="B99" s="7"/>
      <c r="C99" s="7"/>
      <c r="D99" s="7"/>
      <c r="E99" s="7"/>
      <c r="F99" s="7"/>
      <c r="G99" s="7"/>
      <c r="H99" s="7"/>
      <c r="I99" s="7"/>
      <c r="J99" s="7"/>
      <c r="K99" s="7"/>
      <c r="L99" s="7"/>
      <c r="M99" s="7"/>
      <c r="N99" s="7"/>
      <c r="O99" s="7"/>
      <c r="P99" s="7"/>
    </row>
    <row r="100" spans="1:16" x14ac:dyDescent="0.2">
      <c r="A100" s="7"/>
      <c r="B100" s="7"/>
      <c r="C100" s="7"/>
      <c r="D100" s="7"/>
      <c r="E100" s="7"/>
      <c r="F100" s="7"/>
      <c r="G100" s="7"/>
      <c r="H100" s="7"/>
      <c r="I100" s="7"/>
    </row>
    <row r="101" spans="1:16" x14ac:dyDescent="0.2">
      <c r="A101" s="7"/>
      <c r="B101" s="7"/>
      <c r="C101" s="7"/>
      <c r="D101" s="7"/>
      <c r="E101" s="7"/>
      <c r="F101" s="7"/>
      <c r="G101" s="7"/>
      <c r="H101" s="7"/>
      <c r="I101" s="7"/>
    </row>
    <row r="102" spans="1:16" x14ac:dyDescent="0.2">
      <c r="A102" s="7"/>
      <c r="B102" s="7"/>
      <c r="C102" s="7"/>
      <c r="D102" s="7"/>
      <c r="E102" s="7"/>
      <c r="F102" s="7"/>
      <c r="G102" s="7"/>
      <c r="H102" s="7"/>
      <c r="I102" s="7"/>
    </row>
    <row r="103" spans="1:16" x14ac:dyDescent="0.2">
      <c r="A103" s="7"/>
      <c r="B103" s="7"/>
      <c r="C103" s="7"/>
      <c r="D103" s="7"/>
      <c r="E103" s="7"/>
      <c r="F103" s="7"/>
      <c r="G103" s="7"/>
      <c r="H103" s="7"/>
      <c r="I103" s="7"/>
    </row>
    <row r="104" spans="1:16" x14ac:dyDescent="0.2">
      <c r="A104" s="7"/>
      <c r="B104" s="7"/>
      <c r="C104" s="7"/>
      <c r="D104" s="7"/>
      <c r="E104" s="7"/>
      <c r="F104" s="7"/>
      <c r="G104" s="7"/>
      <c r="H104" s="7"/>
      <c r="I104" s="7"/>
    </row>
    <row r="105" spans="1:16" x14ac:dyDescent="0.2">
      <c r="A105" s="7"/>
      <c r="B105" s="7"/>
      <c r="C105" s="7"/>
      <c r="D105" s="7"/>
      <c r="E105" s="7"/>
      <c r="F105" s="7"/>
      <c r="G105" s="7"/>
      <c r="H105" s="7"/>
      <c r="I105" s="7"/>
    </row>
  </sheetData>
  <sheetProtection sheet="1" objects="1" scenarios="1"/>
  <mergeCells count="14">
    <mergeCell ref="F1:I1"/>
    <mergeCell ref="E8:F8"/>
    <mergeCell ref="G8:H8"/>
    <mergeCell ref="I8:J8"/>
    <mergeCell ref="L8:M8"/>
    <mergeCell ref="I15:J15"/>
    <mergeCell ref="L15:M15"/>
    <mergeCell ref="G29:H29"/>
    <mergeCell ref="I29:J29"/>
    <mergeCell ref="L29:M29"/>
    <mergeCell ref="G19:H19"/>
    <mergeCell ref="I19:J19"/>
    <mergeCell ref="L19:M19"/>
    <mergeCell ref="E15:H15"/>
  </mergeCells>
  <pageMargins left="0.70866141732283472" right="0.70866141732283472" top="0.78740157480314965" bottom="0.78740157480314965" header="0.31496062992125984" footer="0.31496062992125984"/>
  <pageSetup paperSize="9" scale="9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206"/>
  <sheetViews>
    <sheetView showGridLines="0" zoomScale="110" zoomScaleNormal="110" zoomScalePageLayoutView="110" workbookViewId="0">
      <selection activeCell="F67" sqref="F67"/>
    </sheetView>
  </sheetViews>
  <sheetFormatPr baseColWidth="10" defaultColWidth="10.875" defaultRowHeight="12" x14ac:dyDescent="0.2"/>
  <cols>
    <col min="1" max="4" width="3.125" style="7" customWidth="1"/>
    <col min="5" max="5" width="30" style="7" customWidth="1"/>
    <col min="6" max="6" width="7.625" style="7" customWidth="1"/>
    <col min="7" max="7" width="4" style="7" customWidth="1"/>
    <col min="8" max="9" width="4.5" style="7" customWidth="1"/>
    <col min="10" max="11" width="4" style="7" customWidth="1"/>
    <col min="12" max="12" width="2.125" style="7" customWidth="1"/>
    <col min="13" max="15" width="7.375" style="7" customWidth="1"/>
    <col min="16" max="16384" width="10.875" style="7"/>
  </cols>
  <sheetData>
    <row r="1" spans="1:15" ht="15.75" x14ac:dyDescent="0.25">
      <c r="A1" s="4" t="s">
        <v>149</v>
      </c>
      <c r="F1" s="181" t="s">
        <v>78</v>
      </c>
      <c r="G1" s="214" t="str">
        <f>'2_Coût_de_stockage'!F1</f>
        <v>Ognions en filet de 1 kg</v>
      </c>
      <c r="H1" s="214"/>
      <c r="I1" s="214"/>
      <c r="J1" s="214"/>
      <c r="K1" s="214"/>
    </row>
    <row r="2" spans="1:15" ht="9.75" customHeight="1" x14ac:dyDescent="0.2"/>
    <row r="3" spans="1:15" x14ac:dyDescent="0.2">
      <c r="A3" s="49" t="s">
        <v>83</v>
      </c>
      <c r="B3" s="15"/>
      <c r="C3" s="15"/>
      <c r="D3" s="15"/>
      <c r="E3" s="15"/>
      <c r="F3" s="15"/>
      <c r="G3" s="15"/>
      <c r="H3" s="15"/>
      <c r="I3" s="15"/>
      <c r="J3" s="15"/>
      <c r="K3" s="15"/>
      <c r="L3" s="15"/>
      <c r="M3" s="89"/>
      <c r="N3" s="90"/>
      <c r="O3" s="90"/>
    </row>
    <row r="4" spans="1:15" x14ac:dyDescent="0.2">
      <c r="B4" s="7" t="s">
        <v>84</v>
      </c>
      <c r="F4" s="136">
        <v>1</v>
      </c>
      <c r="G4" s="7" t="s">
        <v>79</v>
      </c>
      <c r="M4" s="68"/>
      <c r="N4" s="69"/>
      <c r="O4" s="69"/>
    </row>
    <row r="5" spans="1:15" x14ac:dyDescent="0.2">
      <c r="B5" s="7" t="s">
        <v>85</v>
      </c>
      <c r="F5" s="137">
        <f>'3_Coût_de_préparation'!E5*1000</f>
        <v>250000</v>
      </c>
      <c r="G5" s="7" t="s">
        <v>80</v>
      </c>
      <c r="M5" s="68"/>
      <c r="N5" s="69"/>
      <c r="O5" s="69"/>
    </row>
    <row r="6" spans="1:15" x14ac:dyDescent="0.2">
      <c r="B6" s="7" t="s">
        <v>86</v>
      </c>
      <c r="F6" s="138">
        <v>0.7</v>
      </c>
      <c r="G6" s="7" t="s">
        <v>50</v>
      </c>
      <c r="M6" s="68"/>
      <c r="N6" s="69"/>
      <c r="O6" s="69"/>
    </row>
    <row r="7" spans="1:15" x14ac:dyDescent="0.2">
      <c r="B7" s="7" t="s">
        <v>87</v>
      </c>
      <c r="F7" s="137">
        <v>350000</v>
      </c>
      <c r="G7" s="7" t="s">
        <v>80</v>
      </c>
      <c r="M7" s="68"/>
      <c r="N7" s="69"/>
      <c r="O7" s="69"/>
    </row>
    <row r="8" spans="1:15" ht="7.5" customHeight="1" x14ac:dyDescent="0.2">
      <c r="M8" s="68"/>
      <c r="N8" s="69"/>
      <c r="O8" s="69"/>
    </row>
    <row r="9" spans="1:15" ht="11.45" customHeight="1" x14ac:dyDescent="0.2">
      <c r="A9" s="49" t="s">
        <v>158</v>
      </c>
      <c r="B9" s="15"/>
      <c r="C9" s="15"/>
      <c r="D9" s="15"/>
      <c r="E9" s="15"/>
      <c r="F9" s="218" t="s">
        <v>36</v>
      </c>
      <c r="G9" s="219"/>
      <c r="H9" s="220" t="s">
        <v>37</v>
      </c>
      <c r="I9" s="219"/>
      <c r="J9" s="221" t="s">
        <v>38</v>
      </c>
      <c r="K9" s="222"/>
      <c r="L9" s="52"/>
      <c r="M9" s="208" t="s">
        <v>25</v>
      </c>
      <c r="N9" s="207"/>
      <c r="O9" s="207"/>
    </row>
    <row r="10" spans="1:15" x14ac:dyDescent="0.2">
      <c r="F10" s="108" t="s">
        <v>7</v>
      </c>
      <c r="G10" s="109" t="s">
        <v>44</v>
      </c>
      <c r="H10" s="111" t="s">
        <v>7</v>
      </c>
      <c r="I10" s="109" t="s">
        <v>44</v>
      </c>
      <c r="J10" s="111" t="s">
        <v>7</v>
      </c>
      <c r="K10" s="107" t="s">
        <v>44</v>
      </c>
      <c r="L10" s="18"/>
      <c r="M10" s="70" t="s">
        <v>1</v>
      </c>
      <c r="N10" s="71" t="s">
        <v>35</v>
      </c>
      <c r="O10" s="71" t="s">
        <v>41</v>
      </c>
    </row>
    <row r="11" spans="1:15" x14ac:dyDescent="0.2">
      <c r="B11" s="167" t="s">
        <v>159</v>
      </c>
      <c r="C11" s="61"/>
      <c r="D11" s="61"/>
      <c r="E11" s="61"/>
      <c r="F11" s="163"/>
      <c r="G11" s="164"/>
      <c r="H11" s="165"/>
      <c r="I11" s="164"/>
      <c r="J11" s="165"/>
      <c r="K11" s="166"/>
      <c r="L11" s="64"/>
      <c r="M11" s="72">
        <f>SUM(G12:G13,I12:I13,K12:K13)*F5/1000</f>
        <v>12500</v>
      </c>
      <c r="N11" s="73">
        <f>M11/(F5/F4)</f>
        <v>0.05</v>
      </c>
      <c r="O11" s="73">
        <f>M11/F5</f>
        <v>0.05</v>
      </c>
    </row>
    <row r="12" spans="1:15" x14ac:dyDescent="0.2">
      <c r="C12" s="7" t="s">
        <v>88</v>
      </c>
      <c r="F12" s="139">
        <v>0.1</v>
      </c>
      <c r="G12" s="110">
        <f>F12*'1_Donnees_de_base_Batiments'!D4</f>
        <v>4</v>
      </c>
      <c r="H12" s="140">
        <v>0.2</v>
      </c>
      <c r="I12" s="110">
        <f>H12*'1_Donnees_de_base_Batiments'!D5</f>
        <v>6</v>
      </c>
      <c r="J12" s="140">
        <v>1.5</v>
      </c>
      <c r="K12" s="112">
        <f>J12*'1_Donnees_de_base_Batiments'!D6</f>
        <v>33</v>
      </c>
      <c r="L12" s="27"/>
      <c r="M12" s="68"/>
      <c r="N12" s="69"/>
      <c r="O12" s="69"/>
    </row>
    <row r="13" spans="1:15" x14ac:dyDescent="0.2">
      <c r="C13" s="7" t="s">
        <v>2</v>
      </c>
      <c r="F13" s="139">
        <v>0.1</v>
      </c>
      <c r="G13" s="110">
        <f>F13*'1_Donnees_de_base_Batiments'!D4</f>
        <v>4</v>
      </c>
      <c r="H13" s="140">
        <v>0.1</v>
      </c>
      <c r="I13" s="110">
        <f>H13*'1_Donnees_de_base_Batiments'!D5</f>
        <v>3</v>
      </c>
      <c r="J13" s="140">
        <v>0</v>
      </c>
      <c r="K13" s="112">
        <f>J13*'1_Donnees_de_base_Batiments'!D6</f>
        <v>0</v>
      </c>
      <c r="L13" s="27"/>
      <c r="M13" s="68"/>
      <c r="N13" s="69"/>
      <c r="O13" s="69"/>
    </row>
    <row r="14" spans="1:15" x14ac:dyDescent="0.2">
      <c r="C14" s="21" t="s">
        <v>89</v>
      </c>
      <c r="M14" s="68"/>
      <c r="N14" s="69"/>
      <c r="O14" s="69"/>
    </row>
    <row r="15" spans="1:15" ht="7.5" customHeight="1" x14ac:dyDescent="0.2">
      <c r="C15" s="21"/>
      <c r="M15" s="68"/>
      <c r="N15" s="69"/>
      <c r="O15" s="69"/>
    </row>
    <row r="16" spans="1:15" ht="12" customHeight="1" x14ac:dyDescent="0.2">
      <c r="A16" s="49" t="s">
        <v>42</v>
      </c>
      <c r="B16" s="15"/>
      <c r="C16" s="15"/>
      <c r="D16" s="15"/>
      <c r="E16" s="20"/>
      <c r="F16" s="213" t="s">
        <v>46</v>
      </c>
      <c r="G16" s="213"/>
      <c r="H16" s="213"/>
      <c r="I16" s="213"/>
      <c r="J16" s="15"/>
      <c r="K16" s="15"/>
      <c r="L16" s="15"/>
      <c r="M16" s="208" t="s">
        <v>25</v>
      </c>
      <c r="N16" s="207"/>
      <c r="O16" s="207"/>
    </row>
    <row r="17" spans="1:15" x14ac:dyDescent="0.2">
      <c r="A17" s="50"/>
      <c r="B17" s="27"/>
      <c r="C17" s="27"/>
      <c r="D17" s="27"/>
      <c r="E17" s="177"/>
      <c r="F17" s="17" t="s">
        <v>7</v>
      </c>
      <c r="G17" s="27" t="s">
        <v>44</v>
      </c>
      <c r="H17" s="27"/>
      <c r="I17" s="27"/>
      <c r="J17" s="27"/>
      <c r="K17" s="27"/>
      <c r="L17" s="27"/>
      <c r="M17" s="151" t="s">
        <v>1</v>
      </c>
      <c r="N17" s="152" t="s">
        <v>35</v>
      </c>
      <c r="O17" s="152" t="s">
        <v>41</v>
      </c>
    </row>
    <row r="18" spans="1:15" x14ac:dyDescent="0.2">
      <c r="A18" s="50"/>
      <c r="B18" s="61" t="s">
        <v>139</v>
      </c>
      <c r="C18" s="61"/>
      <c r="D18" s="63"/>
      <c r="E18" s="178"/>
      <c r="F18" s="195">
        <v>100</v>
      </c>
      <c r="G18" s="168">
        <f>F18*'1_Donnees_de_base_Batiments'!D8</f>
        <v>1900</v>
      </c>
      <c r="H18" s="168"/>
      <c r="I18" s="168"/>
      <c r="J18" s="168"/>
      <c r="K18" s="168"/>
      <c r="L18" s="168"/>
      <c r="M18" s="72">
        <f>G18</f>
        <v>1900</v>
      </c>
      <c r="N18" s="73">
        <f>O18/F4</f>
        <v>7.6E-3</v>
      </c>
      <c r="O18" s="73">
        <f>M18/F5</f>
        <v>7.6E-3</v>
      </c>
    </row>
    <row r="19" spans="1:15" ht="7.5" customHeight="1" x14ac:dyDescent="0.2">
      <c r="M19" s="68"/>
      <c r="N19" s="69"/>
      <c r="O19" s="69"/>
    </row>
    <row r="20" spans="1:15" x14ac:dyDescent="0.2">
      <c r="A20" s="8" t="s">
        <v>43</v>
      </c>
      <c r="B20" s="15"/>
      <c r="C20" s="15"/>
      <c r="D20" s="15"/>
      <c r="E20" s="15"/>
      <c r="F20" s="15"/>
      <c r="G20" s="15"/>
      <c r="H20" s="15"/>
      <c r="I20" s="15"/>
      <c r="J20" s="15"/>
      <c r="K20" s="15"/>
      <c r="L20" s="15"/>
      <c r="M20" s="208" t="s">
        <v>25</v>
      </c>
      <c r="N20" s="207"/>
      <c r="O20" s="207"/>
    </row>
    <row r="21" spans="1:15" x14ac:dyDescent="0.2">
      <c r="A21" s="50"/>
      <c r="B21" s="27"/>
      <c r="C21" s="27"/>
      <c r="D21" s="27"/>
      <c r="E21" s="27"/>
      <c r="F21" s="27"/>
      <c r="G21" s="27"/>
      <c r="H21" s="27"/>
      <c r="I21" s="27"/>
      <c r="J21" s="27"/>
      <c r="K21" s="27"/>
      <c r="L21" s="27"/>
      <c r="M21" s="70" t="s">
        <v>1</v>
      </c>
      <c r="N21" s="71" t="s">
        <v>35</v>
      </c>
      <c r="O21" s="71" t="s">
        <v>41</v>
      </c>
    </row>
    <row r="22" spans="1:15" s="27" customFormat="1" ht="14.1" customHeight="1" x14ac:dyDescent="0.2">
      <c r="A22" s="50"/>
      <c r="B22" s="167" t="s">
        <v>90</v>
      </c>
      <c r="C22" s="168"/>
      <c r="D22" s="168"/>
      <c r="E22" s="168"/>
      <c r="F22" s="215" t="s">
        <v>151</v>
      </c>
      <c r="G22" s="215"/>
      <c r="H22" s="215"/>
      <c r="I22" s="215"/>
      <c r="J22" s="215"/>
      <c r="K22" s="168"/>
      <c r="L22" s="168"/>
      <c r="M22" s="72">
        <f>SUM(F23,F26:F29)/F7*F5</f>
        <v>14511.904761904761</v>
      </c>
      <c r="N22" s="73">
        <f>O22*F4</f>
        <v>5.8047619047619049E-2</v>
      </c>
      <c r="O22" s="73">
        <f>M22/F5</f>
        <v>5.8047619047619049E-2</v>
      </c>
    </row>
    <row r="23" spans="1:15" x14ac:dyDescent="0.2">
      <c r="A23" s="50"/>
      <c r="C23" s="27" t="s">
        <v>49</v>
      </c>
      <c r="D23" s="27"/>
      <c r="E23" s="27"/>
      <c r="F23" s="96">
        <f>F24/F25</f>
        <v>16666.666666666668</v>
      </c>
      <c r="G23" s="27" t="s">
        <v>16</v>
      </c>
      <c r="H23" s="27"/>
      <c r="I23" s="27"/>
      <c r="J23" s="27"/>
      <c r="K23" s="27"/>
      <c r="L23" s="27"/>
      <c r="M23" s="68"/>
      <c r="N23" s="69"/>
      <c r="O23" s="92"/>
    </row>
    <row r="24" spans="1:15" x14ac:dyDescent="0.2">
      <c r="D24" s="7" t="s">
        <v>142</v>
      </c>
      <c r="F24" s="137">
        <v>100000</v>
      </c>
      <c r="G24" s="7" t="s">
        <v>81</v>
      </c>
      <c r="M24" s="68"/>
      <c r="N24" s="69"/>
      <c r="O24" s="92"/>
    </row>
    <row r="25" spans="1:15" x14ac:dyDescent="0.2">
      <c r="D25" s="7" t="s">
        <v>26</v>
      </c>
      <c r="F25" s="141">
        <v>6</v>
      </c>
      <c r="G25" s="7" t="s">
        <v>17</v>
      </c>
      <c r="M25" s="68"/>
      <c r="N25" s="69"/>
      <c r="O25" s="92"/>
    </row>
    <row r="26" spans="1:15" x14ac:dyDescent="0.2">
      <c r="C26" s="7" t="s">
        <v>27</v>
      </c>
      <c r="F26" s="137">
        <v>500</v>
      </c>
      <c r="G26" s="7" t="s">
        <v>16</v>
      </c>
      <c r="M26" s="68"/>
      <c r="N26" s="69"/>
      <c r="O26" s="92"/>
    </row>
    <row r="27" spans="1:15" x14ac:dyDescent="0.2">
      <c r="C27" s="7" t="s">
        <v>29</v>
      </c>
      <c r="F27" s="137">
        <v>100</v>
      </c>
      <c r="G27" s="7" t="s">
        <v>16</v>
      </c>
      <c r="M27" s="68"/>
      <c r="N27" s="69"/>
      <c r="O27" s="92"/>
    </row>
    <row r="28" spans="1:15" x14ac:dyDescent="0.2">
      <c r="C28" s="7" t="s">
        <v>47</v>
      </c>
      <c r="F28" s="190">
        <f>'1_Donnees_de_base_Batiments'!G33</f>
        <v>1250</v>
      </c>
      <c r="G28" s="7" t="s">
        <v>16</v>
      </c>
      <c r="M28" s="68"/>
      <c r="N28" s="69"/>
      <c r="O28" s="92"/>
    </row>
    <row r="29" spans="1:15" x14ac:dyDescent="0.2">
      <c r="C29" s="7" t="s">
        <v>91</v>
      </c>
      <c r="F29" s="96">
        <f>F24*0.6*'1_Donnees_de_base_Batiments'!D10/100</f>
        <v>1800</v>
      </c>
      <c r="G29" s="7" t="s">
        <v>16</v>
      </c>
      <c r="M29" s="68"/>
      <c r="N29" s="69"/>
      <c r="O29" s="92"/>
    </row>
    <row r="30" spans="1:15" x14ac:dyDescent="0.2">
      <c r="F30" s="96"/>
      <c r="M30" s="68"/>
      <c r="N30" s="69"/>
      <c r="O30" s="92"/>
    </row>
    <row r="31" spans="1:15" x14ac:dyDescent="0.2">
      <c r="B31" s="61" t="s">
        <v>162</v>
      </c>
      <c r="C31" s="45"/>
      <c r="D31" s="45"/>
      <c r="E31" s="45"/>
      <c r="F31" s="103"/>
      <c r="G31" s="45"/>
      <c r="H31" s="45"/>
      <c r="I31" s="45"/>
      <c r="J31" s="45"/>
      <c r="K31" s="45"/>
      <c r="L31" s="45"/>
      <c r="M31" s="72">
        <f>F32*F33/100</f>
        <v>3460</v>
      </c>
      <c r="N31" s="73">
        <f>O31*F4</f>
        <v>1.384E-2</v>
      </c>
      <c r="O31" s="73">
        <f>M31/F5</f>
        <v>1.384E-2</v>
      </c>
    </row>
    <row r="32" spans="1:15" x14ac:dyDescent="0.2">
      <c r="B32" s="31"/>
      <c r="C32" s="7" t="s">
        <v>164</v>
      </c>
      <c r="F32" s="96">
        <f>SUM('1_Donnees_de_base_Batiments'!G15:G20,'1_Donnees_de_base_Batiments'!G23:G28)</f>
        <v>6920</v>
      </c>
      <c r="G32" s="7" t="s">
        <v>16</v>
      </c>
      <c r="M32" s="74"/>
      <c r="N32" s="75"/>
      <c r="O32" s="76"/>
    </row>
    <row r="33" spans="1:15" x14ac:dyDescent="0.2">
      <c r="B33" s="31"/>
      <c r="C33" s="7" t="s">
        <v>92</v>
      </c>
      <c r="F33" s="137">
        <v>50</v>
      </c>
      <c r="G33" s="7" t="s">
        <v>3</v>
      </c>
      <c r="M33" s="74"/>
      <c r="N33" s="75"/>
      <c r="O33" s="76"/>
    </row>
    <row r="34" spans="1:15" x14ac:dyDescent="0.2">
      <c r="C34" s="7" t="s">
        <v>163</v>
      </c>
      <c r="M34" s="91"/>
      <c r="N34" s="75"/>
      <c r="O34" s="76"/>
    </row>
    <row r="35" spans="1:15" ht="7.5" customHeight="1" x14ac:dyDescent="0.2">
      <c r="M35" s="91"/>
      <c r="N35" s="75"/>
      <c r="O35" s="76"/>
    </row>
    <row r="36" spans="1:15" x14ac:dyDescent="0.2">
      <c r="A36" s="49" t="s">
        <v>45</v>
      </c>
      <c r="B36" s="15"/>
      <c r="C36" s="15"/>
      <c r="D36" s="15"/>
      <c r="E36" s="15"/>
      <c r="F36" s="15"/>
      <c r="G36" s="15"/>
      <c r="H36" s="15"/>
      <c r="I36" s="15"/>
      <c r="J36" s="15"/>
      <c r="K36" s="15"/>
      <c r="L36" s="15"/>
      <c r="M36" s="208" t="s">
        <v>25</v>
      </c>
      <c r="N36" s="207"/>
      <c r="O36" s="207"/>
    </row>
    <row r="37" spans="1:15" x14ac:dyDescent="0.2">
      <c r="A37" s="50"/>
      <c r="B37" s="27"/>
      <c r="C37" s="27"/>
      <c r="D37" s="27"/>
      <c r="E37" s="27"/>
      <c r="F37" s="27"/>
      <c r="G37" s="27"/>
      <c r="H37" s="27"/>
      <c r="I37" s="27"/>
      <c r="J37" s="27"/>
      <c r="K37" s="27"/>
      <c r="L37" s="27"/>
      <c r="M37" s="93" t="s">
        <v>1</v>
      </c>
      <c r="N37" s="94" t="s">
        <v>35</v>
      </c>
      <c r="O37" s="94" t="s">
        <v>41</v>
      </c>
    </row>
    <row r="38" spans="1:15" x14ac:dyDescent="0.2">
      <c r="A38" s="50"/>
      <c r="B38" s="61" t="s">
        <v>93</v>
      </c>
      <c r="C38" s="168"/>
      <c r="D38" s="168"/>
      <c r="E38" s="168"/>
      <c r="F38" s="153">
        <v>104</v>
      </c>
      <c r="G38" s="45" t="s">
        <v>82</v>
      </c>
      <c r="H38" s="45"/>
      <c r="I38" s="168"/>
      <c r="J38" s="168"/>
      <c r="K38" s="168"/>
      <c r="L38" s="168"/>
      <c r="M38" s="72">
        <f>F38*F5/1000</f>
        <v>26000</v>
      </c>
      <c r="N38" s="73">
        <f>O38*F4</f>
        <v>0.104</v>
      </c>
      <c r="O38" s="73">
        <f>M38/F5</f>
        <v>0.104</v>
      </c>
    </row>
    <row r="39" spans="1:15" x14ac:dyDescent="0.2">
      <c r="A39" s="50"/>
      <c r="B39" s="27"/>
      <c r="C39" s="27"/>
      <c r="D39" s="27"/>
      <c r="E39" s="27"/>
      <c r="F39" s="27"/>
      <c r="G39" s="27"/>
      <c r="H39" s="27"/>
      <c r="I39" s="27"/>
      <c r="J39" s="27"/>
      <c r="K39" s="27"/>
      <c r="L39" s="27"/>
      <c r="M39" s="144"/>
      <c r="N39" s="145"/>
      <c r="O39" s="145"/>
    </row>
    <row r="40" spans="1:15" x14ac:dyDescent="0.2">
      <c r="B40" s="61" t="s">
        <v>94</v>
      </c>
      <c r="C40" s="45"/>
      <c r="D40" s="45"/>
      <c r="E40" s="45"/>
      <c r="F40" s="45"/>
      <c r="G40" s="45"/>
      <c r="H40" s="45"/>
      <c r="I40" s="45"/>
      <c r="J40" s="45"/>
      <c r="K40" s="45"/>
      <c r="L40" s="45"/>
      <c r="M40" s="72">
        <f>SUM(F41:F44)*F5/1000</f>
        <v>6250</v>
      </c>
      <c r="N40" s="73">
        <f>O40*F4</f>
        <v>2.5000000000000001E-2</v>
      </c>
      <c r="O40" s="73">
        <f>M40/F5</f>
        <v>2.5000000000000001E-2</v>
      </c>
    </row>
    <row r="41" spans="1:15" x14ac:dyDescent="0.2">
      <c r="C41" s="7" t="s">
        <v>95</v>
      </c>
      <c r="F41" s="137">
        <v>0</v>
      </c>
      <c r="G41" s="7" t="s">
        <v>82</v>
      </c>
      <c r="M41" s="91"/>
      <c r="N41" s="75"/>
      <c r="O41" s="76"/>
    </row>
    <row r="42" spans="1:15" x14ac:dyDescent="0.2">
      <c r="C42" s="7" t="s">
        <v>96</v>
      </c>
      <c r="F42" s="137">
        <v>5</v>
      </c>
      <c r="G42" s="7" t="s">
        <v>82</v>
      </c>
      <c r="M42" s="91"/>
      <c r="N42" s="75"/>
      <c r="O42" s="76"/>
    </row>
    <row r="43" spans="1:15" x14ac:dyDescent="0.2">
      <c r="C43" s="7" t="s">
        <v>97</v>
      </c>
      <c r="F43" s="137">
        <v>0</v>
      </c>
      <c r="G43" s="7" t="s">
        <v>82</v>
      </c>
      <c r="M43" s="91"/>
      <c r="N43" s="75"/>
      <c r="O43" s="76"/>
    </row>
    <row r="44" spans="1:15" x14ac:dyDescent="0.2">
      <c r="C44" s="7" t="s">
        <v>98</v>
      </c>
      <c r="F44" s="137">
        <v>20</v>
      </c>
      <c r="G44" s="7" t="s">
        <v>82</v>
      </c>
      <c r="M44" s="91"/>
      <c r="N44" s="75"/>
      <c r="O44" s="76"/>
    </row>
    <row r="45" spans="1:15" x14ac:dyDescent="0.2">
      <c r="M45" s="91"/>
      <c r="N45" s="75"/>
      <c r="O45" s="76"/>
    </row>
    <row r="46" spans="1:15" x14ac:dyDescent="0.2">
      <c r="B46" s="61" t="s">
        <v>150</v>
      </c>
      <c r="C46" s="45"/>
      <c r="D46" s="45"/>
      <c r="E46" s="45"/>
      <c r="F46" s="45"/>
      <c r="G46" s="45"/>
      <c r="H46" s="45"/>
      <c r="I46" s="45"/>
      <c r="J46" s="45"/>
      <c r="K46" s="45"/>
      <c r="L46" s="45"/>
      <c r="M46" s="72">
        <f>SUM(F47:F48)/F7*F5</f>
        <v>142.85714285714286</v>
      </c>
      <c r="N46" s="73">
        <f>O46*F4</f>
        <v>5.7142857142857147E-4</v>
      </c>
      <c r="O46" s="73">
        <f>M46/F5</f>
        <v>5.7142857142857147E-4</v>
      </c>
    </row>
    <row r="47" spans="1:15" x14ac:dyDescent="0.2">
      <c r="C47" s="7" t="s">
        <v>99</v>
      </c>
      <c r="F47" s="137">
        <v>200</v>
      </c>
      <c r="G47" s="7" t="s">
        <v>16</v>
      </c>
      <c r="M47" s="74"/>
      <c r="N47" s="75"/>
      <c r="O47" s="76"/>
    </row>
    <row r="48" spans="1:15" x14ac:dyDescent="0.2">
      <c r="C48" s="7" t="s">
        <v>48</v>
      </c>
      <c r="F48" s="137">
        <v>0</v>
      </c>
      <c r="G48" s="7" t="s">
        <v>16</v>
      </c>
      <c r="M48" s="74"/>
      <c r="N48" s="75"/>
      <c r="O48" s="76"/>
    </row>
    <row r="49" spans="1:15" x14ac:dyDescent="0.2">
      <c r="F49" s="96"/>
      <c r="M49" s="74"/>
      <c r="N49" s="75"/>
      <c r="O49" s="76"/>
    </row>
    <row r="50" spans="1:15" x14ac:dyDescent="0.2">
      <c r="B50" s="61" t="s">
        <v>56</v>
      </c>
      <c r="C50" s="45"/>
      <c r="D50" s="45"/>
      <c r="E50" s="45"/>
      <c r="F50" s="153">
        <v>1000</v>
      </c>
      <c r="G50" s="45" t="s">
        <v>16</v>
      </c>
      <c r="H50" s="45"/>
      <c r="I50" s="45"/>
      <c r="J50" s="45"/>
      <c r="K50" s="45"/>
      <c r="L50" s="45"/>
      <c r="M50" s="72">
        <f>F50/F7*F5</f>
        <v>714.28571428571433</v>
      </c>
      <c r="N50" s="73">
        <f>O50*F4</f>
        <v>2.8571428571428571E-3</v>
      </c>
      <c r="O50" s="73">
        <f>M50/F5</f>
        <v>2.8571428571428571E-3</v>
      </c>
    </row>
    <row r="51" spans="1:15" ht="7.5" customHeight="1" x14ac:dyDescent="0.2">
      <c r="F51" s="96"/>
      <c r="M51" s="74"/>
      <c r="N51" s="75"/>
      <c r="O51" s="76"/>
    </row>
    <row r="52" spans="1:15" x14ac:dyDescent="0.2">
      <c r="A52" s="49" t="s">
        <v>77</v>
      </c>
      <c r="B52" s="15"/>
      <c r="C52" s="15"/>
      <c r="D52" s="15"/>
      <c r="E52" s="15"/>
      <c r="F52" s="15"/>
      <c r="G52" s="15"/>
      <c r="H52" s="15"/>
      <c r="I52" s="15"/>
      <c r="J52" s="15"/>
      <c r="K52" s="15"/>
      <c r="L52" s="15"/>
      <c r="M52" s="208" t="s">
        <v>25</v>
      </c>
      <c r="N52" s="207"/>
      <c r="O52" s="207"/>
    </row>
    <row r="53" spans="1:15" x14ac:dyDescent="0.2">
      <c r="M53" s="93" t="s">
        <v>1</v>
      </c>
      <c r="N53" s="94" t="s">
        <v>35</v>
      </c>
      <c r="O53" s="94" t="s">
        <v>41</v>
      </c>
    </row>
    <row r="54" spans="1:15" x14ac:dyDescent="0.2">
      <c r="B54" s="61" t="s">
        <v>77</v>
      </c>
      <c r="C54" s="45"/>
      <c r="D54" s="45"/>
      <c r="E54" s="45"/>
      <c r="F54" s="45"/>
      <c r="G54" s="45"/>
      <c r="H54" s="45"/>
      <c r="I54" s="45"/>
      <c r="J54" s="45"/>
      <c r="K54" s="45"/>
      <c r="L54" s="45"/>
      <c r="M54" s="72">
        <f>SUM(M55:M56)</f>
        <v>10500</v>
      </c>
      <c r="N54" s="73">
        <f>O54*F4</f>
        <v>4.2000000000000003E-2</v>
      </c>
      <c r="O54" s="73">
        <f>M54/F5</f>
        <v>4.2000000000000003E-2</v>
      </c>
    </row>
    <row r="55" spans="1:15" x14ac:dyDescent="0.2">
      <c r="C55" s="7" t="s">
        <v>100</v>
      </c>
      <c r="F55" s="141">
        <v>4</v>
      </c>
      <c r="G55" s="7" t="s">
        <v>3</v>
      </c>
      <c r="M55" s="95">
        <f>F5*F55/100*F6</f>
        <v>7000</v>
      </c>
      <c r="N55" s="69"/>
      <c r="O55" s="92"/>
    </row>
    <row r="56" spans="1:15" x14ac:dyDescent="0.2">
      <c r="C56" s="7" t="s">
        <v>101</v>
      </c>
      <c r="F56" s="141">
        <v>2</v>
      </c>
      <c r="G56" s="7" t="s">
        <v>3</v>
      </c>
      <c r="M56" s="95">
        <f>F5*F56/100*F6</f>
        <v>3500</v>
      </c>
      <c r="N56" s="69"/>
      <c r="O56" s="92"/>
    </row>
    <row r="57" spans="1:15" ht="7.5" customHeight="1" x14ac:dyDescent="0.2">
      <c r="M57" s="68"/>
      <c r="N57" s="69"/>
      <c r="O57" s="92"/>
    </row>
    <row r="58" spans="1:15" x14ac:dyDescent="0.2">
      <c r="A58" s="49" t="s">
        <v>102</v>
      </c>
      <c r="B58" s="15"/>
      <c r="C58" s="15"/>
      <c r="D58" s="15"/>
      <c r="E58" s="15"/>
      <c r="F58" s="15"/>
      <c r="G58" s="15"/>
      <c r="H58" s="15"/>
      <c r="I58" s="15"/>
      <c r="J58" s="15"/>
      <c r="K58" s="15"/>
      <c r="L58" s="15"/>
      <c r="M58" s="208" t="s">
        <v>25</v>
      </c>
      <c r="N58" s="207"/>
      <c r="O58" s="207"/>
    </row>
    <row r="59" spans="1:15" x14ac:dyDescent="0.2">
      <c r="M59" s="70" t="s">
        <v>1</v>
      </c>
      <c r="N59" s="71" t="s">
        <v>35</v>
      </c>
      <c r="O59" s="71" t="s">
        <v>41</v>
      </c>
    </row>
    <row r="60" spans="1:15" x14ac:dyDescent="0.2">
      <c r="M60" s="74">
        <f>SUM(F61,F64,F65,F66)*F67/100</f>
        <v>5271.3333333333339</v>
      </c>
      <c r="N60" s="76">
        <f>O60*F4</f>
        <v>2.1085333333333334E-2</v>
      </c>
      <c r="O60" s="76">
        <f>M60/F5</f>
        <v>2.1085333333333334E-2</v>
      </c>
    </row>
    <row r="61" spans="1:15" x14ac:dyDescent="0.2">
      <c r="B61" s="7" t="s">
        <v>49</v>
      </c>
      <c r="F61" s="96">
        <f>F62/F63</f>
        <v>8333.3333333333339</v>
      </c>
      <c r="G61" s="7" t="s">
        <v>16</v>
      </c>
      <c r="M61" s="68"/>
      <c r="N61" s="69"/>
      <c r="O61" s="92"/>
    </row>
    <row r="62" spans="1:15" x14ac:dyDescent="0.2">
      <c r="C62" s="7" t="s">
        <v>142</v>
      </c>
      <c r="F62" s="137">
        <v>100000</v>
      </c>
      <c r="G62" s="7" t="s">
        <v>81</v>
      </c>
      <c r="M62" s="68"/>
      <c r="N62" s="69"/>
      <c r="O62" s="92"/>
    </row>
    <row r="63" spans="1:15" x14ac:dyDescent="0.2">
      <c r="C63" s="7" t="s">
        <v>26</v>
      </c>
      <c r="F63" s="141">
        <v>12</v>
      </c>
      <c r="G63" s="7" t="s">
        <v>17</v>
      </c>
      <c r="M63" s="68"/>
      <c r="N63" s="69"/>
      <c r="O63" s="92"/>
    </row>
    <row r="64" spans="1:15" x14ac:dyDescent="0.2">
      <c r="B64" s="7" t="s">
        <v>47</v>
      </c>
      <c r="F64" s="190">
        <f>'1_Donnees_de_base_Batiments'!H33</f>
        <v>750</v>
      </c>
      <c r="G64" s="7" t="s">
        <v>16</v>
      </c>
      <c r="M64" s="68"/>
      <c r="N64" s="69"/>
      <c r="O64" s="92"/>
    </row>
    <row r="65" spans="1:15" x14ac:dyDescent="0.2">
      <c r="B65" s="7" t="s">
        <v>27</v>
      </c>
      <c r="F65" s="137">
        <v>1500</v>
      </c>
      <c r="G65" s="7" t="s">
        <v>16</v>
      </c>
      <c r="M65" s="68"/>
      <c r="N65" s="69"/>
      <c r="O65" s="92"/>
    </row>
    <row r="66" spans="1:15" x14ac:dyDescent="0.2">
      <c r="B66" s="7" t="s">
        <v>162</v>
      </c>
      <c r="F66" s="96">
        <f>SUM('1_Donnees_de_base_Batiments'!H15:H20,'1_Donnees_de_base_Batiments'!H23:H28)</f>
        <v>2595</v>
      </c>
      <c r="G66" s="7" t="s">
        <v>16</v>
      </c>
      <c r="M66" s="216"/>
      <c r="N66" s="217"/>
      <c r="O66" s="217"/>
    </row>
    <row r="67" spans="1:15" x14ac:dyDescent="0.2">
      <c r="B67" s="7" t="s">
        <v>165</v>
      </c>
      <c r="F67" s="137">
        <v>40</v>
      </c>
      <c r="G67" s="7" t="s">
        <v>3</v>
      </c>
      <c r="M67" s="70"/>
      <c r="N67" s="71"/>
      <c r="O67" s="71"/>
    </row>
    <row r="68" spans="1:15" ht="7.5" customHeight="1" x14ac:dyDescent="0.2">
      <c r="F68" s="96"/>
      <c r="M68" s="93"/>
      <c r="N68" s="94"/>
      <c r="O68" s="94"/>
    </row>
    <row r="69" spans="1:15" x14ac:dyDescent="0.2">
      <c r="M69" s="70" t="s">
        <v>1</v>
      </c>
      <c r="N69" s="71" t="s">
        <v>35</v>
      </c>
      <c r="O69" s="71" t="s">
        <v>41</v>
      </c>
    </row>
    <row r="70" spans="1:15" x14ac:dyDescent="0.2">
      <c r="A70" s="25" t="s">
        <v>149</v>
      </c>
      <c r="B70" s="14"/>
      <c r="C70" s="14"/>
      <c r="D70" s="14"/>
      <c r="E70" s="14"/>
      <c r="F70" s="14"/>
      <c r="G70" s="14"/>
      <c r="H70" s="14"/>
      <c r="I70" s="14"/>
      <c r="J70" s="14"/>
      <c r="K70" s="14"/>
      <c r="L70" s="88"/>
      <c r="M70" s="54">
        <f>SUM(M18,M60,M50,M31,M54,M46,M40,M22,M11,M38)</f>
        <v>81250.380952380947</v>
      </c>
      <c r="N70" s="56">
        <f>SUM(N18,N60,N50,N31,N54,N46,N40,N22,N11,N38)</f>
        <v>0.3250015238095238</v>
      </c>
      <c r="O70" s="78">
        <f>SUM(O18,O60,O50,O31,O54,O46,O40,O22,O11,O38)</f>
        <v>0.3250015238095238</v>
      </c>
    </row>
    <row r="71" spans="1:15" x14ac:dyDescent="0.2">
      <c r="M71" s="86"/>
      <c r="N71" s="86"/>
      <c r="O71" s="87"/>
    </row>
    <row r="72" spans="1:15" x14ac:dyDescent="0.2">
      <c r="M72" s="86"/>
      <c r="N72" s="86"/>
      <c r="O72" s="87"/>
    </row>
    <row r="73" spans="1:15" x14ac:dyDescent="0.2">
      <c r="M73" s="86"/>
      <c r="N73" s="86"/>
      <c r="O73" s="87"/>
    </row>
    <row r="74" spans="1:15" x14ac:dyDescent="0.2">
      <c r="M74" s="86"/>
      <c r="N74" s="86"/>
      <c r="O74" s="87"/>
    </row>
    <row r="75" spans="1:15" x14ac:dyDescent="0.2">
      <c r="M75" s="86"/>
      <c r="N75" s="86"/>
      <c r="O75" s="87"/>
    </row>
    <row r="76" spans="1:15" x14ac:dyDescent="0.2">
      <c r="M76" s="86"/>
      <c r="N76" s="86"/>
      <c r="O76" s="86"/>
    </row>
    <row r="77" spans="1:15" x14ac:dyDescent="0.2">
      <c r="M77" s="86"/>
      <c r="N77" s="86"/>
      <c r="O77" s="86"/>
    </row>
    <row r="78" spans="1:15" x14ac:dyDescent="0.2">
      <c r="M78" s="86"/>
      <c r="N78" s="86"/>
      <c r="O78" s="86"/>
    </row>
    <row r="79" spans="1:15" x14ac:dyDescent="0.2">
      <c r="M79" s="86"/>
      <c r="N79" s="86"/>
      <c r="O79" s="86"/>
    </row>
    <row r="80" spans="1:15" x14ac:dyDescent="0.2">
      <c r="M80" s="86"/>
      <c r="N80" s="86"/>
      <c r="O80" s="86"/>
    </row>
    <row r="81" spans="13:15" x14ac:dyDescent="0.2">
      <c r="M81" s="86"/>
      <c r="N81" s="86"/>
      <c r="O81" s="86"/>
    </row>
    <row r="82" spans="13:15" x14ac:dyDescent="0.2">
      <c r="M82" s="86"/>
      <c r="N82" s="86"/>
      <c r="O82" s="86"/>
    </row>
    <row r="83" spans="13:15" x14ac:dyDescent="0.2">
      <c r="M83" s="86"/>
      <c r="N83" s="86"/>
      <c r="O83" s="86"/>
    </row>
    <row r="84" spans="13:15" x14ac:dyDescent="0.2">
      <c r="M84" s="86"/>
      <c r="N84" s="86"/>
      <c r="O84" s="86"/>
    </row>
    <row r="85" spans="13:15" x14ac:dyDescent="0.2">
      <c r="M85" s="86"/>
      <c r="N85" s="86"/>
      <c r="O85" s="86"/>
    </row>
    <row r="86" spans="13:15" x14ac:dyDescent="0.2">
      <c r="M86" s="86"/>
      <c r="N86" s="86"/>
      <c r="O86" s="86"/>
    </row>
    <row r="87" spans="13:15" x14ac:dyDescent="0.2">
      <c r="M87" s="86"/>
      <c r="N87" s="86"/>
      <c r="O87" s="86"/>
    </row>
    <row r="88" spans="13:15" x14ac:dyDescent="0.2">
      <c r="M88" s="86"/>
      <c r="N88" s="86"/>
      <c r="O88" s="86"/>
    </row>
    <row r="89" spans="13:15" x14ac:dyDescent="0.2">
      <c r="M89" s="86"/>
      <c r="N89" s="86"/>
      <c r="O89" s="86"/>
    </row>
    <row r="90" spans="13:15" x14ac:dyDescent="0.2">
      <c r="M90" s="86"/>
      <c r="N90" s="86"/>
      <c r="O90" s="86"/>
    </row>
    <row r="91" spans="13:15" x14ac:dyDescent="0.2">
      <c r="M91" s="86"/>
      <c r="N91" s="86"/>
      <c r="O91" s="86"/>
    </row>
    <row r="92" spans="13:15" x14ac:dyDescent="0.2">
      <c r="M92" s="86"/>
      <c r="N92" s="86"/>
      <c r="O92" s="86"/>
    </row>
    <row r="93" spans="13:15" x14ac:dyDescent="0.2">
      <c r="M93" s="86"/>
      <c r="N93" s="86"/>
      <c r="O93" s="86"/>
    </row>
    <row r="94" spans="13:15" x14ac:dyDescent="0.2">
      <c r="M94" s="86"/>
      <c r="N94" s="86"/>
      <c r="O94" s="86"/>
    </row>
    <row r="95" spans="13:15" x14ac:dyDescent="0.2">
      <c r="M95" s="86"/>
      <c r="N95" s="86"/>
      <c r="O95" s="86"/>
    </row>
    <row r="96" spans="13:15" x14ac:dyDescent="0.2">
      <c r="M96" s="86"/>
      <c r="N96" s="86"/>
      <c r="O96" s="86"/>
    </row>
    <row r="97" spans="13:15" x14ac:dyDescent="0.2">
      <c r="M97" s="86"/>
      <c r="N97" s="86"/>
      <c r="O97" s="86"/>
    </row>
    <row r="98" spans="13:15" x14ac:dyDescent="0.2">
      <c r="M98" s="86"/>
      <c r="N98" s="86"/>
      <c r="O98" s="86"/>
    </row>
    <row r="99" spans="13:15" x14ac:dyDescent="0.2">
      <c r="M99" s="86"/>
      <c r="N99" s="86"/>
      <c r="O99" s="86"/>
    </row>
    <row r="100" spans="13:15" x14ac:dyDescent="0.2">
      <c r="M100" s="86"/>
      <c r="N100" s="86"/>
      <c r="O100" s="86"/>
    </row>
    <row r="101" spans="13:15" x14ac:dyDescent="0.2">
      <c r="M101" s="86"/>
      <c r="N101" s="86"/>
      <c r="O101" s="86"/>
    </row>
    <row r="102" spans="13:15" x14ac:dyDescent="0.2">
      <c r="M102" s="86"/>
      <c r="N102" s="86"/>
      <c r="O102" s="86"/>
    </row>
    <row r="103" spans="13:15" x14ac:dyDescent="0.2">
      <c r="M103" s="86"/>
      <c r="N103" s="86"/>
      <c r="O103" s="86"/>
    </row>
    <row r="104" spans="13:15" x14ac:dyDescent="0.2">
      <c r="M104" s="86"/>
      <c r="N104" s="86"/>
      <c r="O104" s="86"/>
    </row>
    <row r="105" spans="13:15" x14ac:dyDescent="0.2">
      <c r="M105" s="86"/>
      <c r="N105" s="86"/>
      <c r="O105" s="86"/>
    </row>
    <row r="106" spans="13:15" x14ac:dyDescent="0.2">
      <c r="M106" s="86"/>
      <c r="N106" s="86"/>
      <c r="O106" s="86"/>
    </row>
    <row r="107" spans="13:15" x14ac:dyDescent="0.2">
      <c r="M107" s="86"/>
      <c r="N107" s="86"/>
      <c r="O107" s="86"/>
    </row>
    <row r="108" spans="13:15" x14ac:dyDescent="0.2">
      <c r="M108" s="86"/>
      <c r="N108" s="86"/>
      <c r="O108" s="86"/>
    </row>
    <row r="109" spans="13:15" x14ac:dyDescent="0.2">
      <c r="M109" s="86"/>
      <c r="N109" s="86"/>
      <c r="O109" s="86"/>
    </row>
    <row r="110" spans="13:15" x14ac:dyDescent="0.2">
      <c r="M110" s="86"/>
      <c r="N110" s="86"/>
      <c r="O110" s="86"/>
    </row>
    <row r="111" spans="13:15" x14ac:dyDescent="0.2">
      <c r="M111" s="86"/>
      <c r="N111" s="86"/>
      <c r="O111" s="86"/>
    </row>
    <row r="112" spans="13:15" x14ac:dyDescent="0.2">
      <c r="M112" s="86"/>
      <c r="N112" s="86"/>
      <c r="O112" s="86"/>
    </row>
    <row r="113" spans="13:15" x14ac:dyDescent="0.2">
      <c r="M113" s="86"/>
      <c r="N113" s="86"/>
      <c r="O113" s="86"/>
    </row>
    <row r="114" spans="13:15" x14ac:dyDescent="0.2">
      <c r="M114" s="86"/>
      <c r="N114" s="86"/>
      <c r="O114" s="86"/>
    </row>
    <row r="115" spans="13:15" x14ac:dyDescent="0.2">
      <c r="M115" s="86"/>
      <c r="N115" s="86"/>
      <c r="O115" s="86"/>
    </row>
    <row r="116" spans="13:15" x14ac:dyDescent="0.2">
      <c r="M116" s="86"/>
      <c r="N116" s="86"/>
      <c r="O116" s="86"/>
    </row>
    <row r="117" spans="13:15" x14ac:dyDescent="0.2">
      <c r="M117" s="86"/>
      <c r="N117" s="86"/>
      <c r="O117" s="86"/>
    </row>
    <row r="118" spans="13:15" x14ac:dyDescent="0.2">
      <c r="M118" s="86"/>
      <c r="N118" s="86"/>
      <c r="O118" s="86"/>
    </row>
    <row r="119" spans="13:15" x14ac:dyDescent="0.2">
      <c r="M119" s="86"/>
      <c r="N119" s="86"/>
      <c r="O119" s="86"/>
    </row>
    <row r="120" spans="13:15" x14ac:dyDescent="0.2">
      <c r="M120" s="86"/>
      <c r="N120" s="86"/>
      <c r="O120" s="86"/>
    </row>
    <row r="121" spans="13:15" x14ac:dyDescent="0.2">
      <c r="M121" s="86"/>
      <c r="N121" s="86"/>
      <c r="O121" s="86"/>
    </row>
    <row r="122" spans="13:15" x14ac:dyDescent="0.2">
      <c r="M122" s="86"/>
      <c r="N122" s="86"/>
      <c r="O122" s="86"/>
    </row>
    <row r="123" spans="13:15" x14ac:dyDescent="0.2">
      <c r="M123" s="86"/>
      <c r="N123" s="86"/>
      <c r="O123" s="86"/>
    </row>
    <row r="124" spans="13:15" x14ac:dyDescent="0.2">
      <c r="M124" s="86"/>
      <c r="N124" s="86"/>
      <c r="O124" s="86"/>
    </row>
    <row r="125" spans="13:15" x14ac:dyDescent="0.2">
      <c r="M125" s="86"/>
      <c r="N125" s="86"/>
      <c r="O125" s="86"/>
    </row>
    <row r="126" spans="13:15" x14ac:dyDescent="0.2">
      <c r="M126" s="86"/>
      <c r="N126" s="86"/>
      <c r="O126" s="86"/>
    </row>
    <row r="127" spans="13:15" x14ac:dyDescent="0.2">
      <c r="M127" s="86"/>
      <c r="N127" s="86"/>
      <c r="O127" s="86"/>
    </row>
    <row r="128" spans="13:15" x14ac:dyDescent="0.2">
      <c r="M128" s="86"/>
      <c r="N128" s="86"/>
      <c r="O128" s="86"/>
    </row>
    <row r="129" spans="13:15" x14ac:dyDescent="0.2">
      <c r="M129" s="86"/>
      <c r="N129" s="86"/>
      <c r="O129" s="86"/>
    </row>
    <row r="130" spans="13:15" x14ac:dyDescent="0.2">
      <c r="M130" s="86"/>
      <c r="N130" s="86"/>
      <c r="O130" s="86"/>
    </row>
    <row r="131" spans="13:15" x14ac:dyDescent="0.2">
      <c r="M131" s="86"/>
      <c r="N131" s="86"/>
      <c r="O131" s="86"/>
    </row>
    <row r="132" spans="13:15" x14ac:dyDescent="0.2">
      <c r="M132" s="86"/>
      <c r="N132" s="86"/>
      <c r="O132" s="86"/>
    </row>
    <row r="133" spans="13:15" x14ac:dyDescent="0.2">
      <c r="M133" s="86"/>
      <c r="N133" s="86"/>
      <c r="O133" s="86"/>
    </row>
    <row r="134" spans="13:15" x14ac:dyDescent="0.2">
      <c r="M134" s="86"/>
      <c r="N134" s="86"/>
      <c r="O134" s="86"/>
    </row>
    <row r="135" spans="13:15" x14ac:dyDescent="0.2">
      <c r="M135" s="86"/>
      <c r="N135" s="86"/>
      <c r="O135" s="86"/>
    </row>
    <row r="136" spans="13:15" x14ac:dyDescent="0.2">
      <c r="M136" s="86"/>
      <c r="N136" s="86"/>
      <c r="O136" s="86"/>
    </row>
    <row r="137" spans="13:15" x14ac:dyDescent="0.2">
      <c r="M137" s="86"/>
      <c r="N137" s="86"/>
      <c r="O137" s="86"/>
    </row>
    <row r="138" spans="13:15" x14ac:dyDescent="0.2">
      <c r="M138" s="86"/>
      <c r="N138" s="86"/>
      <c r="O138" s="86"/>
    </row>
    <row r="139" spans="13:15" x14ac:dyDescent="0.2">
      <c r="M139" s="86"/>
      <c r="N139" s="86"/>
      <c r="O139" s="86"/>
    </row>
    <row r="140" spans="13:15" x14ac:dyDescent="0.2">
      <c r="M140" s="86"/>
      <c r="N140" s="86"/>
      <c r="O140" s="86"/>
    </row>
    <row r="141" spans="13:15" x14ac:dyDescent="0.2">
      <c r="M141" s="86"/>
      <c r="N141" s="86"/>
      <c r="O141" s="86"/>
    </row>
    <row r="142" spans="13:15" x14ac:dyDescent="0.2">
      <c r="M142" s="86"/>
      <c r="N142" s="86"/>
      <c r="O142" s="86"/>
    </row>
    <row r="143" spans="13:15" x14ac:dyDescent="0.2">
      <c r="M143" s="86"/>
      <c r="N143" s="86"/>
      <c r="O143" s="86"/>
    </row>
    <row r="144" spans="13:15" x14ac:dyDescent="0.2">
      <c r="M144" s="86"/>
      <c r="N144" s="86"/>
      <c r="O144" s="86"/>
    </row>
    <row r="145" spans="13:15" x14ac:dyDescent="0.2">
      <c r="M145" s="86"/>
      <c r="N145" s="86"/>
      <c r="O145" s="86"/>
    </row>
    <row r="146" spans="13:15" x14ac:dyDescent="0.2">
      <c r="M146" s="86"/>
      <c r="N146" s="86"/>
      <c r="O146" s="86"/>
    </row>
    <row r="147" spans="13:15" x14ac:dyDescent="0.2">
      <c r="M147" s="86"/>
      <c r="N147" s="86"/>
      <c r="O147" s="86"/>
    </row>
    <row r="148" spans="13:15" x14ac:dyDescent="0.2">
      <c r="M148" s="86"/>
      <c r="N148" s="86"/>
      <c r="O148" s="86"/>
    </row>
    <row r="149" spans="13:15" x14ac:dyDescent="0.2">
      <c r="M149" s="86"/>
      <c r="N149" s="86"/>
      <c r="O149" s="86"/>
    </row>
    <row r="150" spans="13:15" x14ac:dyDescent="0.2">
      <c r="M150" s="86"/>
      <c r="N150" s="86"/>
      <c r="O150" s="86"/>
    </row>
    <row r="151" spans="13:15" x14ac:dyDescent="0.2">
      <c r="M151" s="86"/>
      <c r="N151" s="86"/>
      <c r="O151" s="86"/>
    </row>
    <row r="152" spans="13:15" x14ac:dyDescent="0.2">
      <c r="M152" s="86"/>
      <c r="N152" s="86"/>
      <c r="O152" s="86"/>
    </row>
    <row r="153" spans="13:15" x14ac:dyDescent="0.2">
      <c r="M153" s="86"/>
      <c r="N153" s="86"/>
      <c r="O153" s="86"/>
    </row>
    <row r="154" spans="13:15" x14ac:dyDescent="0.2">
      <c r="M154" s="86"/>
      <c r="N154" s="86"/>
      <c r="O154" s="86"/>
    </row>
    <row r="155" spans="13:15" x14ac:dyDescent="0.2">
      <c r="M155" s="86"/>
      <c r="N155" s="86"/>
      <c r="O155" s="86"/>
    </row>
    <row r="156" spans="13:15" x14ac:dyDescent="0.2">
      <c r="M156" s="86"/>
      <c r="N156" s="86"/>
      <c r="O156" s="86"/>
    </row>
    <row r="157" spans="13:15" x14ac:dyDescent="0.2">
      <c r="M157" s="86"/>
      <c r="N157" s="86"/>
      <c r="O157" s="86"/>
    </row>
    <row r="158" spans="13:15" x14ac:dyDescent="0.2">
      <c r="M158" s="86"/>
      <c r="N158" s="86"/>
      <c r="O158" s="86"/>
    </row>
    <row r="159" spans="13:15" x14ac:dyDescent="0.2">
      <c r="M159" s="86"/>
      <c r="N159" s="86"/>
      <c r="O159" s="86"/>
    </row>
    <row r="160" spans="13:15" x14ac:dyDescent="0.2">
      <c r="M160" s="86"/>
      <c r="N160" s="86"/>
      <c r="O160" s="86"/>
    </row>
    <row r="161" spans="13:15" x14ac:dyDescent="0.2">
      <c r="M161" s="86"/>
      <c r="N161" s="86"/>
      <c r="O161" s="86"/>
    </row>
    <row r="162" spans="13:15" x14ac:dyDescent="0.2">
      <c r="M162" s="86"/>
      <c r="N162" s="86"/>
      <c r="O162" s="86"/>
    </row>
    <row r="163" spans="13:15" x14ac:dyDescent="0.2">
      <c r="M163" s="86"/>
      <c r="N163" s="86"/>
      <c r="O163" s="86"/>
    </row>
    <row r="164" spans="13:15" x14ac:dyDescent="0.2">
      <c r="M164" s="86"/>
      <c r="N164" s="86"/>
      <c r="O164" s="86"/>
    </row>
    <row r="165" spans="13:15" x14ac:dyDescent="0.2">
      <c r="M165" s="86"/>
      <c r="N165" s="86"/>
      <c r="O165" s="86"/>
    </row>
    <row r="166" spans="13:15" x14ac:dyDescent="0.2">
      <c r="M166" s="86"/>
      <c r="N166" s="86"/>
      <c r="O166" s="86"/>
    </row>
    <row r="167" spans="13:15" x14ac:dyDescent="0.2">
      <c r="M167" s="86"/>
      <c r="N167" s="86"/>
      <c r="O167" s="86"/>
    </row>
    <row r="168" spans="13:15" x14ac:dyDescent="0.2">
      <c r="M168" s="86"/>
      <c r="N168" s="86"/>
      <c r="O168" s="86"/>
    </row>
    <row r="169" spans="13:15" x14ac:dyDescent="0.2">
      <c r="M169" s="86"/>
      <c r="N169" s="86"/>
      <c r="O169" s="86"/>
    </row>
    <row r="170" spans="13:15" x14ac:dyDescent="0.2">
      <c r="M170" s="86"/>
      <c r="N170" s="86"/>
      <c r="O170" s="86"/>
    </row>
    <row r="171" spans="13:15" x14ac:dyDescent="0.2">
      <c r="M171" s="86"/>
      <c r="N171" s="86"/>
      <c r="O171" s="86"/>
    </row>
    <row r="172" spans="13:15" x14ac:dyDescent="0.2">
      <c r="M172" s="86"/>
      <c r="N172" s="86"/>
      <c r="O172" s="86"/>
    </row>
    <row r="173" spans="13:15" x14ac:dyDescent="0.2">
      <c r="M173" s="86"/>
      <c r="N173" s="86"/>
      <c r="O173" s="86"/>
    </row>
    <row r="174" spans="13:15" x14ac:dyDescent="0.2">
      <c r="M174" s="86"/>
      <c r="N174" s="86"/>
      <c r="O174" s="86"/>
    </row>
    <row r="175" spans="13:15" x14ac:dyDescent="0.2">
      <c r="M175" s="86"/>
      <c r="N175" s="86"/>
      <c r="O175" s="86"/>
    </row>
    <row r="176" spans="13:15" x14ac:dyDescent="0.2">
      <c r="M176" s="86"/>
      <c r="N176" s="86"/>
      <c r="O176" s="86"/>
    </row>
    <row r="177" spans="13:15" x14ac:dyDescent="0.2">
      <c r="M177" s="86"/>
      <c r="N177" s="86"/>
      <c r="O177" s="86"/>
    </row>
    <row r="178" spans="13:15" x14ac:dyDescent="0.2">
      <c r="M178" s="86"/>
      <c r="N178" s="86"/>
      <c r="O178" s="86"/>
    </row>
    <row r="179" spans="13:15" x14ac:dyDescent="0.2">
      <c r="M179" s="86"/>
      <c r="N179" s="86"/>
      <c r="O179" s="86"/>
    </row>
    <row r="180" spans="13:15" x14ac:dyDescent="0.2">
      <c r="M180" s="86"/>
      <c r="N180" s="86"/>
      <c r="O180" s="86"/>
    </row>
    <row r="181" spans="13:15" x14ac:dyDescent="0.2">
      <c r="M181" s="86"/>
      <c r="N181" s="86"/>
      <c r="O181" s="86"/>
    </row>
    <row r="182" spans="13:15" x14ac:dyDescent="0.2">
      <c r="M182" s="86"/>
      <c r="N182" s="86"/>
      <c r="O182" s="86"/>
    </row>
    <row r="183" spans="13:15" x14ac:dyDescent="0.2">
      <c r="M183" s="86"/>
      <c r="N183" s="86"/>
      <c r="O183" s="86"/>
    </row>
    <row r="184" spans="13:15" x14ac:dyDescent="0.2">
      <c r="M184" s="86"/>
      <c r="N184" s="86"/>
      <c r="O184" s="86"/>
    </row>
    <row r="185" spans="13:15" x14ac:dyDescent="0.2">
      <c r="M185" s="86"/>
      <c r="N185" s="86"/>
      <c r="O185" s="86"/>
    </row>
    <row r="186" spans="13:15" x14ac:dyDescent="0.2">
      <c r="M186" s="86"/>
      <c r="N186" s="86"/>
      <c r="O186" s="86"/>
    </row>
    <row r="187" spans="13:15" x14ac:dyDescent="0.2">
      <c r="M187" s="86"/>
      <c r="N187" s="86"/>
      <c r="O187" s="86"/>
    </row>
    <row r="188" spans="13:15" x14ac:dyDescent="0.2">
      <c r="M188" s="86"/>
      <c r="N188" s="86"/>
      <c r="O188" s="86"/>
    </row>
    <row r="189" spans="13:15" x14ac:dyDescent="0.2">
      <c r="M189" s="86"/>
      <c r="N189" s="86"/>
      <c r="O189" s="86"/>
    </row>
    <row r="190" spans="13:15" x14ac:dyDescent="0.2">
      <c r="M190" s="86"/>
      <c r="N190" s="86"/>
      <c r="O190" s="86"/>
    </row>
    <row r="191" spans="13:15" x14ac:dyDescent="0.2">
      <c r="M191" s="86"/>
      <c r="N191" s="86"/>
      <c r="O191" s="86"/>
    </row>
    <row r="192" spans="13:15" x14ac:dyDescent="0.2">
      <c r="M192" s="86"/>
      <c r="N192" s="86"/>
      <c r="O192" s="86"/>
    </row>
    <row r="193" spans="13:15" x14ac:dyDescent="0.2">
      <c r="M193" s="86"/>
      <c r="N193" s="86"/>
      <c r="O193" s="86"/>
    </row>
    <row r="194" spans="13:15" x14ac:dyDescent="0.2">
      <c r="M194" s="86"/>
      <c r="N194" s="86"/>
      <c r="O194" s="86"/>
    </row>
    <row r="195" spans="13:15" x14ac:dyDescent="0.2">
      <c r="M195" s="86"/>
      <c r="N195" s="86"/>
      <c r="O195" s="86"/>
    </row>
    <row r="196" spans="13:15" x14ac:dyDescent="0.2">
      <c r="M196" s="86"/>
      <c r="N196" s="86"/>
      <c r="O196" s="86"/>
    </row>
    <row r="197" spans="13:15" x14ac:dyDescent="0.2">
      <c r="M197" s="86"/>
      <c r="N197" s="86"/>
      <c r="O197" s="86"/>
    </row>
    <row r="198" spans="13:15" x14ac:dyDescent="0.2">
      <c r="M198" s="86"/>
      <c r="N198" s="86"/>
      <c r="O198" s="86"/>
    </row>
    <row r="199" spans="13:15" x14ac:dyDescent="0.2">
      <c r="M199" s="86"/>
      <c r="N199" s="86"/>
      <c r="O199" s="86"/>
    </row>
    <row r="200" spans="13:15" x14ac:dyDescent="0.2">
      <c r="M200" s="86"/>
      <c r="N200" s="86"/>
      <c r="O200" s="86"/>
    </row>
    <row r="201" spans="13:15" x14ac:dyDescent="0.2">
      <c r="M201" s="86"/>
      <c r="N201" s="86"/>
      <c r="O201" s="86"/>
    </row>
    <row r="202" spans="13:15" x14ac:dyDescent="0.2">
      <c r="M202" s="86"/>
      <c r="N202" s="86"/>
      <c r="O202" s="86"/>
    </row>
    <row r="203" spans="13:15" x14ac:dyDescent="0.2">
      <c r="M203" s="86"/>
      <c r="N203" s="86"/>
      <c r="O203" s="86"/>
    </row>
    <row r="204" spans="13:15" x14ac:dyDescent="0.2">
      <c r="M204" s="86"/>
      <c r="N204" s="86"/>
      <c r="O204" s="86"/>
    </row>
    <row r="205" spans="13:15" x14ac:dyDescent="0.2">
      <c r="M205" s="86"/>
      <c r="N205" s="86"/>
      <c r="O205" s="86"/>
    </row>
    <row r="206" spans="13:15" x14ac:dyDescent="0.2">
      <c r="M206" s="86"/>
      <c r="N206" s="86"/>
      <c r="O206" s="86"/>
    </row>
  </sheetData>
  <sheetProtection sheet="1" objects="1" scenarios="1"/>
  <mergeCells count="13">
    <mergeCell ref="G1:K1"/>
    <mergeCell ref="F22:J22"/>
    <mergeCell ref="M58:O58"/>
    <mergeCell ref="M66:O66"/>
    <mergeCell ref="F9:G9"/>
    <mergeCell ref="H9:I9"/>
    <mergeCell ref="J9:K9"/>
    <mergeCell ref="M9:O9"/>
    <mergeCell ref="M20:O20"/>
    <mergeCell ref="M36:O36"/>
    <mergeCell ref="M52:O52"/>
    <mergeCell ref="M16:O16"/>
    <mergeCell ref="F16:I16"/>
  </mergeCells>
  <pageMargins left="0.70866141732283472" right="0.70866141732283472" top="0.78740157480314965" bottom="0.78740157480314965" header="0.31496062992125984" footer="0.31496062992125984"/>
  <pageSetup paperSize="9" scale="84"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40"/>
  <sheetViews>
    <sheetView showGridLines="0" topLeftCell="A13" zoomScale="110" zoomScaleNormal="110" zoomScalePageLayoutView="110" workbookViewId="0">
      <selection activeCell="E5" sqref="E5"/>
    </sheetView>
  </sheetViews>
  <sheetFormatPr baseColWidth="10" defaultRowHeight="14.25" x14ac:dyDescent="0.2"/>
  <cols>
    <col min="1" max="3" width="2.5" customWidth="1"/>
    <col min="4" max="4" width="30" customWidth="1"/>
    <col min="5" max="6" width="7" customWidth="1"/>
    <col min="7" max="8" width="5.5" customWidth="1"/>
    <col min="9" max="10" width="4.875" customWidth="1"/>
    <col min="11" max="11" width="2.625" customWidth="1"/>
    <col min="12" max="14" width="5.625" customWidth="1"/>
  </cols>
  <sheetData>
    <row r="1" spans="1:14" ht="15.75" x14ac:dyDescent="0.25">
      <c r="A1" s="4" t="s">
        <v>152</v>
      </c>
      <c r="E1" s="181" t="s">
        <v>78</v>
      </c>
      <c r="F1" s="223" t="str">
        <f>'2_Coût_de_stockage'!F1:G1</f>
        <v>Ognions en filet de 1 kg</v>
      </c>
      <c r="G1" s="223"/>
      <c r="H1" s="223"/>
      <c r="I1" s="223"/>
      <c r="J1" s="223"/>
    </row>
    <row r="3" spans="1:14" x14ac:dyDescent="0.2">
      <c r="A3" s="29" t="s">
        <v>83</v>
      </c>
      <c r="B3" s="26"/>
      <c r="C3" s="26"/>
      <c r="D3" s="26"/>
      <c r="E3" s="9"/>
      <c r="F3" s="9"/>
      <c r="G3" s="9"/>
      <c r="H3" s="9"/>
      <c r="I3" s="15"/>
      <c r="J3" s="15"/>
      <c r="K3" s="15"/>
      <c r="L3" s="208"/>
      <c r="M3" s="207"/>
      <c r="N3" s="207"/>
    </row>
    <row r="4" spans="1:14" x14ac:dyDescent="0.2">
      <c r="A4" s="30"/>
      <c r="B4" s="28"/>
      <c r="C4" s="28"/>
      <c r="D4" s="28"/>
      <c r="E4" s="224" t="s">
        <v>103</v>
      </c>
      <c r="F4" s="224"/>
      <c r="G4" s="224"/>
      <c r="H4" s="224"/>
      <c r="I4" s="27"/>
      <c r="J4" s="27"/>
      <c r="K4" s="27"/>
      <c r="L4" s="70"/>
      <c r="M4" s="71"/>
      <c r="N4" s="71"/>
    </row>
    <row r="5" spans="1:14" x14ac:dyDescent="0.2">
      <c r="C5" s="7" t="s">
        <v>106</v>
      </c>
      <c r="D5" s="7"/>
      <c r="E5" s="142">
        <v>18</v>
      </c>
      <c r="F5" s="7" t="s">
        <v>6</v>
      </c>
      <c r="L5" s="79"/>
      <c r="M5" s="80"/>
      <c r="N5" s="80"/>
    </row>
    <row r="6" spans="1:14" x14ac:dyDescent="0.2">
      <c r="C6" s="7" t="s">
        <v>105</v>
      </c>
      <c r="D6" s="7"/>
      <c r="E6" s="143" t="s">
        <v>13</v>
      </c>
      <c r="F6" s="7"/>
      <c r="L6" s="79"/>
      <c r="M6" s="80"/>
      <c r="N6" s="80"/>
    </row>
    <row r="7" spans="1:14" x14ac:dyDescent="0.2">
      <c r="C7" s="7" t="s">
        <v>107</v>
      </c>
      <c r="D7" s="7"/>
      <c r="E7" s="137">
        <v>5000</v>
      </c>
      <c r="F7" s="7" t="s">
        <v>10</v>
      </c>
      <c r="L7" s="79"/>
      <c r="M7" s="80"/>
      <c r="N7" s="80"/>
    </row>
    <row r="8" spans="1:14" x14ac:dyDescent="0.2">
      <c r="C8" s="7" t="s">
        <v>108</v>
      </c>
      <c r="D8" s="7"/>
      <c r="E8" s="142">
        <v>20</v>
      </c>
      <c r="F8" s="7" t="s">
        <v>8</v>
      </c>
      <c r="L8" s="79"/>
      <c r="M8" s="80"/>
      <c r="N8" s="80"/>
    </row>
    <row r="9" spans="1:14" x14ac:dyDescent="0.2">
      <c r="C9" s="7" t="s">
        <v>109</v>
      </c>
      <c r="D9" s="7"/>
      <c r="E9" s="138">
        <v>1.6</v>
      </c>
      <c r="F9" s="7" t="s">
        <v>104</v>
      </c>
      <c r="L9" s="79"/>
      <c r="M9" s="80"/>
      <c r="N9" s="80"/>
    </row>
    <row r="10" spans="1:14" x14ac:dyDescent="0.2">
      <c r="C10" s="7" t="s">
        <v>110</v>
      </c>
      <c r="D10" s="7"/>
      <c r="E10" s="141">
        <v>50</v>
      </c>
      <c r="F10" s="7" t="s">
        <v>9</v>
      </c>
      <c r="L10" s="79"/>
      <c r="M10" s="80"/>
      <c r="N10" s="80"/>
    </row>
    <row r="11" spans="1:14" x14ac:dyDescent="0.2">
      <c r="C11" s="7" t="s">
        <v>111</v>
      </c>
      <c r="D11" s="7"/>
      <c r="E11" s="141">
        <v>100</v>
      </c>
      <c r="F11" s="7"/>
      <c r="L11" s="79"/>
      <c r="M11" s="80"/>
      <c r="N11" s="80"/>
    </row>
    <row r="12" spans="1:14" x14ac:dyDescent="0.2">
      <c r="C12" s="7" t="s">
        <v>112</v>
      </c>
      <c r="D12" s="7"/>
      <c r="E12" s="137">
        <v>20000</v>
      </c>
      <c r="F12" s="7" t="s">
        <v>9</v>
      </c>
      <c r="L12" s="79"/>
      <c r="M12" s="80"/>
      <c r="N12" s="80"/>
    </row>
    <row r="13" spans="1:14" x14ac:dyDescent="0.2">
      <c r="C13" s="7" t="s">
        <v>113</v>
      </c>
      <c r="D13" s="7"/>
      <c r="E13" s="141">
        <v>50</v>
      </c>
      <c r="F13" s="7" t="s">
        <v>3</v>
      </c>
      <c r="L13" s="79"/>
      <c r="M13" s="80"/>
      <c r="N13" s="80"/>
    </row>
    <row r="14" spans="1:14" x14ac:dyDescent="0.2">
      <c r="L14" s="79"/>
      <c r="M14" s="80"/>
      <c r="N14" s="80"/>
    </row>
    <row r="15" spans="1:14" ht="13.9" customHeight="1" x14ac:dyDescent="0.2">
      <c r="A15" s="8" t="s">
        <v>160</v>
      </c>
      <c r="B15" s="26"/>
      <c r="C15" s="26"/>
      <c r="D15" s="26"/>
      <c r="E15" s="206" t="s">
        <v>36</v>
      </c>
      <c r="F15" s="206"/>
      <c r="G15" s="209" t="s">
        <v>37</v>
      </c>
      <c r="H15" s="210"/>
      <c r="I15" s="211" t="s">
        <v>38</v>
      </c>
      <c r="J15" s="211"/>
      <c r="K15" s="197"/>
      <c r="L15" s="208" t="s">
        <v>25</v>
      </c>
      <c r="M15" s="207"/>
      <c r="N15" s="207"/>
    </row>
    <row r="16" spans="1:14" ht="14.1" customHeight="1" x14ac:dyDescent="0.2">
      <c r="E16" s="113" t="s">
        <v>7</v>
      </c>
      <c r="F16" s="114" t="s">
        <v>44</v>
      </c>
      <c r="G16" s="118" t="s">
        <v>7</v>
      </c>
      <c r="H16" s="119" t="s">
        <v>44</v>
      </c>
      <c r="I16" s="113" t="s">
        <v>7</v>
      </c>
      <c r="J16" s="114" t="s">
        <v>44</v>
      </c>
      <c r="K16" s="18"/>
      <c r="L16" s="81" t="s">
        <v>114</v>
      </c>
      <c r="M16" s="82" t="s">
        <v>115</v>
      </c>
      <c r="N16" s="82" t="s">
        <v>10</v>
      </c>
    </row>
    <row r="17" spans="1:14" ht="14.1" customHeight="1" x14ac:dyDescent="0.2">
      <c r="B17" s="57" t="s">
        <v>159</v>
      </c>
      <c r="C17" s="59"/>
      <c r="D17" s="59"/>
      <c r="E17" s="123"/>
      <c r="F17" s="124"/>
      <c r="G17" s="125"/>
      <c r="H17" s="126"/>
      <c r="I17" s="123"/>
      <c r="J17" s="124"/>
      <c r="K17" s="60"/>
      <c r="L17" s="83">
        <f>M17*E11</f>
        <v>6050</v>
      </c>
      <c r="M17" s="84">
        <f>SUM(F18:F20,H18:H20,J18:J20)</f>
        <v>60.5</v>
      </c>
      <c r="N17" s="85">
        <f>M17/E7</f>
        <v>1.21E-2</v>
      </c>
    </row>
    <row r="18" spans="1:14" x14ac:dyDescent="0.2">
      <c r="C18" s="7" t="s">
        <v>116</v>
      </c>
      <c r="E18" s="139">
        <v>0</v>
      </c>
      <c r="F18" s="112">
        <f>E18*'1_Donnees_de_base_Batiments'!D4</f>
        <v>0</v>
      </c>
      <c r="G18" s="140">
        <v>0</v>
      </c>
      <c r="H18" s="110">
        <f>G18*'1_Donnees_de_base_Batiments'!D5</f>
        <v>0</v>
      </c>
      <c r="I18" s="139">
        <v>1.5</v>
      </c>
      <c r="J18" s="112">
        <f>I18*'1_Donnees_de_base_Batiments'!D6</f>
        <v>33</v>
      </c>
      <c r="K18" s="27"/>
      <c r="L18" s="66"/>
      <c r="M18" s="67"/>
      <c r="N18" s="67"/>
    </row>
    <row r="19" spans="1:14" x14ac:dyDescent="0.2">
      <c r="C19" s="7" t="s">
        <v>117</v>
      </c>
      <c r="E19" s="139">
        <v>0</v>
      </c>
      <c r="F19" s="112">
        <f>E19*'1_Donnees_de_base_Batiments'!D4</f>
        <v>0</v>
      </c>
      <c r="G19" s="140">
        <v>0</v>
      </c>
      <c r="H19" s="110">
        <f>G19*'1_Donnees_de_base_Batiments'!D5</f>
        <v>0</v>
      </c>
      <c r="I19" s="139">
        <v>1</v>
      </c>
      <c r="J19" s="112">
        <f>I19*'1_Donnees_de_base_Batiments'!D6</f>
        <v>22</v>
      </c>
      <c r="K19" s="27"/>
      <c r="L19" s="66"/>
      <c r="M19" s="67"/>
      <c r="N19" s="67"/>
    </row>
    <row r="20" spans="1:14" x14ac:dyDescent="0.2">
      <c r="C20" s="7" t="s">
        <v>118</v>
      </c>
      <c r="E20" s="135">
        <v>0</v>
      </c>
      <c r="F20" s="110">
        <f>E20*'1_Donnees_de_base_Batiments'!D5</f>
        <v>0</v>
      </c>
      <c r="G20" s="135">
        <v>0.25</v>
      </c>
      <c r="H20" s="110">
        <f>G20*'1_Donnees_de_base_Batiments'!D6</f>
        <v>5.5</v>
      </c>
      <c r="I20" s="140">
        <v>0</v>
      </c>
      <c r="J20" s="112">
        <f>I20*'1_Donnees_de_base_Batiments'!D7</f>
        <v>0</v>
      </c>
      <c r="K20" s="27"/>
      <c r="L20" s="66"/>
      <c r="M20" s="67"/>
      <c r="N20" s="67"/>
    </row>
    <row r="21" spans="1:14" x14ac:dyDescent="0.2">
      <c r="E21" s="11"/>
      <c r="F21" s="11"/>
      <c r="G21" s="11"/>
      <c r="H21" s="11"/>
      <c r="I21" s="27"/>
      <c r="J21" s="27"/>
      <c r="K21" s="27"/>
      <c r="L21" s="66"/>
      <c r="M21" s="67"/>
      <c r="N21" s="67"/>
    </row>
    <row r="22" spans="1:14" x14ac:dyDescent="0.2">
      <c r="A22" s="29" t="s">
        <v>75</v>
      </c>
      <c r="B22" s="26"/>
      <c r="C22" s="26"/>
      <c r="D22" s="26"/>
      <c r="E22" s="9"/>
      <c r="F22" s="9"/>
      <c r="G22" s="9"/>
      <c r="H22" s="9"/>
      <c r="I22" s="15"/>
      <c r="J22" s="15"/>
      <c r="K22" s="15"/>
      <c r="L22" s="208" t="s">
        <v>25</v>
      </c>
      <c r="M22" s="207"/>
      <c r="N22" s="207"/>
    </row>
    <row r="23" spans="1:14" x14ac:dyDescent="0.2">
      <c r="A23" s="30"/>
      <c r="B23" s="28"/>
      <c r="C23" s="28"/>
      <c r="D23" s="28"/>
      <c r="E23" s="11"/>
      <c r="F23" s="11"/>
      <c r="G23" s="11"/>
      <c r="H23" s="11"/>
      <c r="I23" s="27"/>
      <c r="J23" s="27"/>
      <c r="K23" s="27"/>
      <c r="L23" s="81" t="s">
        <v>114</v>
      </c>
      <c r="M23" s="82" t="s">
        <v>115</v>
      </c>
      <c r="N23" s="82" t="s">
        <v>10</v>
      </c>
    </row>
    <row r="24" spans="1:14" x14ac:dyDescent="0.2">
      <c r="B24" s="57" t="s">
        <v>119</v>
      </c>
      <c r="C24" s="58"/>
      <c r="D24" s="58"/>
      <c r="E24" s="59"/>
      <c r="F24" s="59"/>
      <c r="G24" s="59"/>
      <c r="H24" s="59"/>
      <c r="I24" s="59"/>
      <c r="J24" s="59"/>
      <c r="K24" s="59"/>
      <c r="L24" s="83">
        <f>SUM(E25,E29,E30,E31)/E12*E11*E10</f>
        <v>6887.5</v>
      </c>
      <c r="M24" s="84">
        <f>N24*E7</f>
        <v>68.875</v>
      </c>
      <c r="N24" s="85">
        <f>L24/E7/E11</f>
        <v>1.3774999999999999E-2</v>
      </c>
    </row>
    <row r="25" spans="1:14" x14ac:dyDescent="0.2">
      <c r="B25" s="7"/>
      <c r="C25" s="7" t="s">
        <v>49</v>
      </c>
      <c r="D25" s="7"/>
      <c r="E25" s="96">
        <f>E26*(100-E28)/E27/100</f>
        <v>18750</v>
      </c>
      <c r="L25" s="79"/>
      <c r="M25" s="80"/>
      <c r="N25" s="80"/>
    </row>
    <row r="26" spans="1:14" x14ac:dyDescent="0.2">
      <c r="B26" s="7"/>
      <c r="C26" s="7"/>
      <c r="D26" s="7" t="s">
        <v>120</v>
      </c>
      <c r="E26" s="137">
        <v>250000</v>
      </c>
      <c r="F26" s="7" t="s">
        <v>25</v>
      </c>
      <c r="L26" s="79"/>
      <c r="M26" s="80"/>
      <c r="N26" s="80"/>
    </row>
    <row r="27" spans="1:14" x14ac:dyDescent="0.2">
      <c r="B27" s="7"/>
      <c r="C27" s="7"/>
      <c r="D27" s="7" t="s">
        <v>26</v>
      </c>
      <c r="E27" s="141">
        <v>12</v>
      </c>
      <c r="F27" s="7" t="s">
        <v>17</v>
      </c>
      <c r="L27" s="79"/>
      <c r="M27" s="80"/>
      <c r="N27" s="80"/>
    </row>
    <row r="28" spans="1:14" x14ac:dyDescent="0.2">
      <c r="B28" s="7"/>
      <c r="C28" s="7"/>
      <c r="D28" s="7" t="s">
        <v>121</v>
      </c>
      <c r="E28" s="141">
        <v>10</v>
      </c>
      <c r="F28" s="7" t="s">
        <v>3</v>
      </c>
      <c r="L28" s="79"/>
      <c r="M28" s="80"/>
      <c r="N28" s="80"/>
    </row>
    <row r="29" spans="1:14" x14ac:dyDescent="0.2">
      <c r="B29" s="7"/>
      <c r="C29" s="7" t="s">
        <v>28</v>
      </c>
      <c r="D29" s="7"/>
      <c r="E29" s="96">
        <f>((E26-E26*E28/100)*0.6*'1_Donnees_de_base_Batiments'!D10/100)+(E26*E28/100*'1_Donnees_de_base_Batiments'!D10/100)</f>
        <v>4800</v>
      </c>
      <c r="F29" s="7" t="s">
        <v>16</v>
      </c>
      <c r="L29" s="79"/>
      <c r="M29" s="80"/>
      <c r="N29" s="80"/>
    </row>
    <row r="30" spans="1:14" x14ac:dyDescent="0.2">
      <c r="B30" s="7"/>
      <c r="C30" s="7" t="s">
        <v>122</v>
      </c>
      <c r="D30" s="7"/>
      <c r="E30" s="137">
        <v>2000</v>
      </c>
      <c r="F30" s="7" t="s">
        <v>16</v>
      </c>
      <c r="L30" s="79"/>
      <c r="M30" s="80"/>
      <c r="N30" s="80"/>
    </row>
    <row r="31" spans="1:14" x14ac:dyDescent="0.2">
      <c r="B31" s="7"/>
      <c r="C31" s="7" t="s">
        <v>153</v>
      </c>
      <c r="D31" s="7"/>
      <c r="E31" s="137">
        <v>2000</v>
      </c>
      <c r="F31" s="7" t="s">
        <v>16</v>
      </c>
      <c r="L31" s="79"/>
      <c r="M31" s="80"/>
      <c r="N31" s="80"/>
    </row>
    <row r="32" spans="1:14" x14ac:dyDescent="0.2">
      <c r="B32" s="7"/>
      <c r="C32" s="7"/>
      <c r="D32" s="7"/>
      <c r="E32" s="7"/>
      <c r="F32" s="7"/>
      <c r="L32" s="79"/>
      <c r="M32" s="80"/>
      <c r="N32" s="80"/>
    </row>
    <row r="33" spans="1:14" x14ac:dyDescent="0.2">
      <c r="B33" s="57" t="s">
        <v>123</v>
      </c>
      <c r="C33" s="58"/>
      <c r="D33" s="58"/>
      <c r="E33" s="58"/>
      <c r="F33" s="58"/>
      <c r="G33" s="59"/>
      <c r="H33" s="59"/>
      <c r="I33" s="59"/>
      <c r="J33" s="59"/>
      <c r="K33" s="59"/>
      <c r="L33" s="83">
        <f>SUM(E34:E37)/E12*E11*E10</f>
        <v>6256.1666666666661</v>
      </c>
      <c r="M33" s="84">
        <f>N33*E7</f>
        <v>62.56166666666666</v>
      </c>
      <c r="N33" s="85">
        <f>L33/E7/E11</f>
        <v>1.2512333333333332E-2</v>
      </c>
    </row>
    <row r="34" spans="1:14" x14ac:dyDescent="0.2">
      <c r="B34" s="7"/>
      <c r="C34" s="7" t="s">
        <v>124</v>
      </c>
      <c r="D34" s="7"/>
      <c r="E34" s="96">
        <f>E12/100*E9*E8</f>
        <v>6400</v>
      </c>
      <c r="F34" s="7" t="s">
        <v>16</v>
      </c>
      <c r="L34" s="79"/>
      <c r="M34" s="80"/>
      <c r="N34" s="80"/>
    </row>
    <row r="35" spans="1:14" x14ac:dyDescent="0.2">
      <c r="B35" s="7"/>
      <c r="C35" s="7" t="s">
        <v>125</v>
      </c>
      <c r="D35" s="7"/>
      <c r="E35" s="96">
        <f>(E26*E13/100/E27)</f>
        <v>10416.666666666666</v>
      </c>
      <c r="F35" s="7" t="s">
        <v>16</v>
      </c>
      <c r="L35" s="79"/>
      <c r="M35" s="80"/>
      <c r="N35" s="80"/>
    </row>
    <row r="36" spans="1:14" x14ac:dyDescent="0.2">
      <c r="C36" s="27" t="s">
        <v>126</v>
      </c>
      <c r="E36" s="96">
        <f>IF(E6="Euro 1", E12*0.031*E5,IF(E6="Euro 2",E12*E5*0.0279,IF(E6="Euro 3",E12*E5*0.0279,IF(E6="Euro 4",E12*E5*0.0269,IF(E6="Euro 5",E12*E5*0.0269,IF(E6="Euro 6",E12*E5*0.0228,0))))))</f>
        <v>8208</v>
      </c>
      <c r="F36" s="7" t="s">
        <v>16</v>
      </c>
      <c r="L36" s="79"/>
      <c r="M36" s="80"/>
      <c r="N36" s="80"/>
    </row>
    <row r="37" spans="1:14" x14ac:dyDescent="0.2">
      <c r="C37" s="7" t="s">
        <v>56</v>
      </c>
      <c r="E37" s="137"/>
      <c r="F37" s="7" t="s">
        <v>16</v>
      </c>
      <c r="L37" s="79"/>
      <c r="M37" s="80"/>
      <c r="N37" s="80"/>
    </row>
    <row r="38" spans="1:14" x14ac:dyDescent="0.2">
      <c r="L38" s="81" t="s">
        <v>114</v>
      </c>
      <c r="M38" s="82" t="s">
        <v>115</v>
      </c>
      <c r="N38" s="82" t="s">
        <v>10</v>
      </c>
    </row>
    <row r="39" spans="1:14" x14ac:dyDescent="0.2">
      <c r="A39" s="25" t="s">
        <v>152</v>
      </c>
      <c r="B39" s="14"/>
      <c r="C39" s="14"/>
      <c r="D39" s="14"/>
      <c r="E39" s="14"/>
      <c r="F39" s="14"/>
      <c r="G39" s="14"/>
      <c r="H39" s="14"/>
      <c r="I39" s="14"/>
      <c r="J39" s="14"/>
      <c r="K39" s="14"/>
      <c r="L39" s="54">
        <f>SUM(L17,L24,L33)</f>
        <v>19193.666666666664</v>
      </c>
      <c r="M39" s="55">
        <f>SUM(M17,M24,M33)</f>
        <v>191.93666666666667</v>
      </c>
      <c r="N39" s="56">
        <f>SUM(N17,N24,N33)</f>
        <v>3.8387333333333329E-2</v>
      </c>
    </row>
    <row r="40" spans="1:14" x14ac:dyDescent="0.2">
      <c r="D40" s="28"/>
    </row>
  </sheetData>
  <sheetProtection sheet="1" objects="1" scenarios="1"/>
  <mergeCells count="8">
    <mergeCell ref="F1:J1"/>
    <mergeCell ref="E4:H4"/>
    <mergeCell ref="L22:N22"/>
    <mergeCell ref="L3:N3"/>
    <mergeCell ref="E15:F15"/>
    <mergeCell ref="G15:H15"/>
    <mergeCell ref="I15:J15"/>
    <mergeCell ref="L15:N15"/>
  </mergeCells>
  <dataValidations count="1">
    <dataValidation type="list" showInputMessage="1" showErrorMessage="1" sqref="E6" xr:uid="{00000000-0002-0000-0500-000000000000}">
      <formula1>"Euro 1, Euro 2, Euro 3, Euro 4, Euro 5, Euro 6,"</formula1>
    </dataValidation>
  </dataValidations>
  <pageMargins left="0.70866141732283472" right="0.70866141732283472" top="0.78740157480314965" bottom="0.78740157480314965" header="0.31496062992125984" footer="0.31496062992125984"/>
  <pageSetup paperSize="9" scale="87"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7"/>
  <sheetViews>
    <sheetView showGridLines="0" zoomScale="110" zoomScaleNormal="110" zoomScalePageLayoutView="110" workbookViewId="0">
      <selection activeCell="B21" sqref="B21"/>
    </sheetView>
  </sheetViews>
  <sheetFormatPr baseColWidth="10" defaultRowHeight="14.25" x14ac:dyDescent="0.2"/>
  <cols>
    <col min="1" max="1" width="3.5" customWidth="1"/>
    <col min="2" max="2" width="4.5" customWidth="1"/>
    <col min="3" max="3" width="5" customWidth="1"/>
    <col min="4" max="4" width="24.125" customWidth="1"/>
    <col min="5" max="8" width="7" customWidth="1"/>
    <col min="9" max="9" width="8" customWidth="1"/>
    <col min="10" max="10" width="7" customWidth="1"/>
  </cols>
  <sheetData>
    <row r="1" spans="1:9" ht="15.75" x14ac:dyDescent="0.25">
      <c r="A1" s="4" t="s">
        <v>74</v>
      </c>
      <c r="E1" s="180" t="s">
        <v>39</v>
      </c>
      <c r="F1" s="226" t="str">
        <f>'2_Coût_de_stockage'!F1:G1</f>
        <v>Ognions en filet de 1 kg</v>
      </c>
      <c r="G1" s="226"/>
      <c r="H1" s="226"/>
      <c r="I1" s="226"/>
    </row>
    <row r="2" spans="1:9" x14ac:dyDescent="0.2">
      <c r="G2" s="225"/>
      <c r="H2" s="225"/>
      <c r="I2" s="156"/>
    </row>
    <row r="3" spans="1:9" x14ac:dyDescent="0.2">
      <c r="A3" s="49" t="s">
        <v>138</v>
      </c>
      <c r="B3" s="49"/>
      <c r="C3" s="51"/>
      <c r="D3" s="49"/>
      <c r="E3" s="49"/>
      <c r="F3" s="49"/>
      <c r="G3" s="158">
        <f>SUM(E4:E7)</f>
        <v>0.13766654545454543</v>
      </c>
      <c r="H3" s="154" t="s">
        <v>50</v>
      </c>
      <c r="I3" s="159">
        <f>100/G27*G3/100</f>
        <v>0.25214173186168037</v>
      </c>
    </row>
    <row r="4" spans="1:9" x14ac:dyDescent="0.2">
      <c r="A4" s="7"/>
      <c r="B4" s="7" t="s">
        <v>158</v>
      </c>
      <c r="D4" s="7"/>
      <c r="E4" s="97">
        <f>'2_Coût_de_stockage'!M10</f>
        <v>6.414545454545454E-3</v>
      </c>
      <c r="F4" s="7" t="s">
        <v>50</v>
      </c>
      <c r="G4" s="6"/>
      <c r="H4" s="155"/>
      <c r="I4" s="157"/>
    </row>
    <row r="5" spans="1:9" x14ac:dyDescent="0.2">
      <c r="A5" s="7"/>
      <c r="B5" s="7" t="s">
        <v>42</v>
      </c>
      <c r="D5" s="7"/>
      <c r="E5" s="97">
        <f>'2_Coût_de_stockage'!M18</f>
        <v>4.2145454545454552E-3</v>
      </c>
      <c r="F5" s="7" t="s">
        <v>50</v>
      </c>
      <c r="G5" s="6"/>
      <c r="H5" s="155"/>
      <c r="I5" s="157"/>
    </row>
    <row r="6" spans="1:9" x14ac:dyDescent="0.2">
      <c r="A6" s="7"/>
      <c r="B6" s="7" t="s">
        <v>76</v>
      </c>
      <c r="D6" s="7"/>
      <c r="E6" s="97">
        <f>'2_Coût_de_stockage'!M25+'2_Coût_de_stockage'!M27</f>
        <v>8.2521090909090905E-2</v>
      </c>
      <c r="F6" s="7" t="s">
        <v>50</v>
      </c>
      <c r="G6" s="6"/>
      <c r="H6" s="155"/>
      <c r="I6" s="157"/>
    </row>
    <row r="7" spans="1:9" x14ac:dyDescent="0.2">
      <c r="A7" s="7"/>
      <c r="B7" s="7" t="s">
        <v>45</v>
      </c>
      <c r="D7" s="7"/>
      <c r="E7" s="97">
        <f>'2_Coût_de_stockage'!M36+'2_Coût_de_stockage'!M40+'2_Coût_de_stockage'!M47+'2_Coût_de_stockage'!M53</f>
        <v>4.4516363636363632E-2</v>
      </c>
      <c r="F7" s="7" t="s">
        <v>50</v>
      </c>
      <c r="G7" s="6"/>
      <c r="H7" s="155"/>
      <c r="I7" s="157"/>
    </row>
    <row r="8" spans="1:9" x14ac:dyDescent="0.2">
      <c r="A8" s="7"/>
      <c r="B8" s="7"/>
      <c r="D8" s="7"/>
      <c r="E8" s="97"/>
      <c r="F8" s="7"/>
      <c r="G8" s="6"/>
      <c r="H8" s="155"/>
      <c r="I8" s="157"/>
    </row>
    <row r="9" spans="1:9" x14ac:dyDescent="0.2">
      <c r="A9" s="49" t="s">
        <v>154</v>
      </c>
      <c r="B9" s="49"/>
      <c r="C9" s="51"/>
      <c r="D9" s="49"/>
      <c r="E9" s="49"/>
      <c r="F9" s="49"/>
      <c r="G9" s="158">
        <f>SUM(E10:E13)</f>
        <v>4.4933333333333339E-2</v>
      </c>
      <c r="H9" s="154" t="s">
        <v>50</v>
      </c>
      <c r="I9" s="159">
        <f>100/G27*G9/100</f>
        <v>8.2297180099762321E-2</v>
      </c>
    </row>
    <row r="10" spans="1:9" x14ac:dyDescent="0.2">
      <c r="A10" s="7"/>
      <c r="B10" s="7" t="s">
        <v>158</v>
      </c>
      <c r="D10" s="7"/>
      <c r="E10" s="97">
        <f>'3_Coût_de_préparation'!M10</f>
        <v>1.84E-2</v>
      </c>
      <c r="F10" s="7" t="s">
        <v>50</v>
      </c>
      <c r="G10" s="6"/>
      <c r="H10" s="155"/>
      <c r="I10" s="157"/>
    </row>
    <row r="11" spans="1:9" x14ac:dyDescent="0.2">
      <c r="A11" s="7"/>
      <c r="B11" s="7" t="s">
        <v>42</v>
      </c>
      <c r="D11" s="7"/>
      <c r="E11" s="97">
        <f>'3_Coût_de_préparation'!M17</f>
        <v>1.5200000000000001E-3</v>
      </c>
      <c r="F11" s="7" t="s">
        <v>50</v>
      </c>
      <c r="G11" s="6"/>
      <c r="H11" s="155"/>
      <c r="I11" s="157"/>
    </row>
    <row r="12" spans="1:9" x14ac:dyDescent="0.2">
      <c r="A12" s="7"/>
      <c r="B12" s="7" t="s">
        <v>173</v>
      </c>
      <c r="D12" s="7"/>
      <c r="E12" s="97">
        <f>'3_Coût_de_préparation'!M21+'3_Coût_de_préparation'!M23</f>
        <v>2.2713333333333335E-2</v>
      </c>
      <c r="F12" s="7" t="s">
        <v>50</v>
      </c>
      <c r="G12" s="6"/>
      <c r="H12" s="155"/>
      <c r="I12" s="157"/>
    </row>
    <row r="13" spans="1:9" x14ac:dyDescent="0.2">
      <c r="A13" s="7"/>
      <c r="B13" s="7" t="s">
        <v>45</v>
      </c>
      <c r="D13" s="7"/>
      <c r="E13" s="97">
        <f>'3_Coût_de_préparation'!M31+'3_Coût_de_préparation'!M35+'3_Coût_de_préparation'!M37</f>
        <v>2.3E-3</v>
      </c>
      <c r="F13" s="7" t="s">
        <v>50</v>
      </c>
      <c r="G13" s="6"/>
      <c r="H13" s="155"/>
      <c r="I13" s="157"/>
    </row>
    <row r="14" spans="1:9" x14ac:dyDescent="0.2">
      <c r="A14" s="7"/>
      <c r="B14" s="7"/>
      <c r="D14" s="7"/>
      <c r="E14" s="97"/>
      <c r="F14" s="7"/>
      <c r="G14" s="6"/>
      <c r="H14" s="155"/>
      <c r="I14" s="157"/>
    </row>
    <row r="15" spans="1:9" x14ac:dyDescent="0.2">
      <c r="A15" s="49" t="s">
        <v>149</v>
      </c>
      <c r="B15" s="49"/>
      <c r="C15" s="51"/>
      <c r="D15" s="49"/>
      <c r="E15" s="49"/>
      <c r="F15" s="49"/>
      <c r="G15" s="158">
        <f>SUM(E16:E21)</f>
        <v>0.32500152380952385</v>
      </c>
      <c r="H15" s="154" t="s">
        <v>50</v>
      </c>
      <c r="I15" s="159">
        <f>100/G27*G15/100</f>
        <v>0.59525316626816549</v>
      </c>
    </row>
    <row r="16" spans="1:9" x14ac:dyDescent="0.2">
      <c r="A16" s="7"/>
      <c r="B16" s="7" t="s">
        <v>158</v>
      </c>
      <c r="D16" s="7"/>
      <c r="E16" s="97">
        <f>'4_Coût_d''emballage'!O11</f>
        <v>0.05</v>
      </c>
      <c r="F16" s="7" t="s">
        <v>50</v>
      </c>
      <c r="G16" s="6"/>
      <c r="H16" s="155"/>
      <c r="I16" s="157"/>
    </row>
    <row r="17" spans="1:9" x14ac:dyDescent="0.2">
      <c r="A17" s="7"/>
      <c r="B17" s="7" t="s">
        <v>42</v>
      </c>
      <c r="D17" s="7"/>
      <c r="E17" s="97">
        <f>'4_Coût_d''emballage'!O18</f>
        <v>7.6E-3</v>
      </c>
      <c r="F17" s="7" t="s">
        <v>50</v>
      </c>
      <c r="G17" s="6"/>
      <c r="H17" s="155"/>
      <c r="I17" s="157"/>
    </row>
    <row r="18" spans="1:9" x14ac:dyDescent="0.2">
      <c r="A18" s="7"/>
      <c r="B18" s="7" t="s">
        <v>173</v>
      </c>
      <c r="D18" s="7"/>
      <c r="E18" s="97">
        <f>'4_Coût_d''emballage'!O22+'4_Coût_d''emballage'!O31</f>
        <v>7.1887619047619047E-2</v>
      </c>
      <c r="F18" s="7" t="s">
        <v>50</v>
      </c>
      <c r="G18" s="6"/>
      <c r="H18" s="155"/>
      <c r="I18" s="157"/>
    </row>
    <row r="19" spans="1:9" x14ac:dyDescent="0.2">
      <c r="A19" s="7"/>
      <c r="B19" s="7" t="s">
        <v>45</v>
      </c>
      <c r="D19" s="7"/>
      <c r="E19" s="97">
        <f>'4_Coût_d''emballage'!O38+'4_Coût_d''emballage'!O40+'4_Coût_d''emballage'!O46+'4_Coût_d''emballage'!O50</f>
        <v>0.13242857142857145</v>
      </c>
      <c r="F19" s="7" t="s">
        <v>50</v>
      </c>
      <c r="G19" s="6"/>
      <c r="H19" s="155"/>
      <c r="I19" s="157"/>
    </row>
    <row r="20" spans="1:9" x14ac:dyDescent="0.2">
      <c r="A20" s="7"/>
      <c r="B20" s="7" t="s">
        <v>77</v>
      </c>
      <c r="D20" s="7"/>
      <c r="E20" s="97">
        <f>'4_Coût_d''emballage'!O54</f>
        <v>4.2000000000000003E-2</v>
      </c>
      <c r="F20" s="7" t="s">
        <v>50</v>
      </c>
      <c r="G20" s="6"/>
      <c r="H20" s="155"/>
      <c r="I20" s="157"/>
    </row>
    <row r="21" spans="1:9" x14ac:dyDescent="0.2">
      <c r="A21" s="7"/>
      <c r="B21" s="7" t="s">
        <v>156</v>
      </c>
      <c r="D21" s="7"/>
      <c r="E21" s="97">
        <f>'4_Coût_d''emballage'!O60</f>
        <v>2.1085333333333334E-2</v>
      </c>
      <c r="F21" s="7" t="s">
        <v>50</v>
      </c>
      <c r="G21" s="6"/>
      <c r="H21" s="155"/>
      <c r="I21" s="157"/>
    </row>
    <row r="22" spans="1:9" x14ac:dyDescent="0.2">
      <c r="A22" s="7"/>
      <c r="B22" s="7"/>
      <c r="D22" s="7"/>
      <c r="E22" s="97"/>
      <c r="F22" s="7"/>
      <c r="G22" s="6"/>
      <c r="H22" s="155"/>
      <c r="I22" s="157"/>
    </row>
    <row r="23" spans="1:9" x14ac:dyDescent="0.2">
      <c r="A23" s="49" t="s">
        <v>155</v>
      </c>
      <c r="B23" s="49"/>
      <c r="C23" s="51"/>
      <c r="D23" s="49"/>
      <c r="E23" s="49"/>
      <c r="F23" s="49"/>
      <c r="G23" s="158">
        <f>SUM(E24:E25)</f>
        <v>3.8387333333333329E-2</v>
      </c>
      <c r="H23" s="154" t="s">
        <v>50</v>
      </c>
      <c r="I23" s="159">
        <f>100/G27*G23/100</f>
        <v>7.0307921770391871E-2</v>
      </c>
    </row>
    <row r="24" spans="1:9" x14ac:dyDescent="0.2">
      <c r="A24" s="7"/>
      <c r="B24" s="7" t="s">
        <v>158</v>
      </c>
      <c r="D24" s="7"/>
      <c r="E24" s="97">
        <f>'5_Coût_de_transport'!N17</f>
        <v>1.21E-2</v>
      </c>
      <c r="F24" s="7" t="s">
        <v>50</v>
      </c>
      <c r="G24" s="6"/>
      <c r="H24" s="155"/>
      <c r="I24" s="157"/>
    </row>
    <row r="25" spans="1:9" x14ac:dyDescent="0.2">
      <c r="A25" s="7"/>
      <c r="B25" s="7" t="s">
        <v>75</v>
      </c>
      <c r="D25" s="7"/>
      <c r="E25" s="97">
        <f>'5_Coût_de_transport'!N24+'5_Coût_de_transport'!N33</f>
        <v>2.6287333333333329E-2</v>
      </c>
      <c r="F25" s="7" t="s">
        <v>50</v>
      </c>
      <c r="G25" s="6"/>
      <c r="H25" s="155"/>
      <c r="I25" s="157"/>
    </row>
    <row r="26" spans="1:9" x14ac:dyDescent="0.2">
      <c r="E26" s="7"/>
      <c r="F26" s="7"/>
      <c r="G26" s="6"/>
      <c r="H26" s="155"/>
      <c r="I26" s="157"/>
    </row>
    <row r="27" spans="1:9" x14ac:dyDescent="0.2">
      <c r="A27" s="49" t="s">
        <v>1</v>
      </c>
      <c r="B27" s="49"/>
      <c r="C27" s="49"/>
      <c r="D27" s="49"/>
      <c r="E27" s="49"/>
      <c r="F27" s="49"/>
      <c r="G27" s="158">
        <f>SUM(G3+G15+G23+G9)</f>
        <v>0.54598873593073594</v>
      </c>
      <c r="H27" s="154" t="s">
        <v>50</v>
      </c>
      <c r="I27" s="160">
        <v>1</v>
      </c>
    </row>
  </sheetData>
  <sheetProtection sheet="1" objects="1" scenarios="1"/>
  <mergeCells count="2">
    <mergeCell ref="G2:H2"/>
    <mergeCell ref="F1:I1"/>
  </mergeCells>
  <phoneticPr fontId="15" type="noConversion"/>
  <pageMargins left="0.70866141732283472" right="0.70866141732283472"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Instructions</vt:lpstr>
      <vt:lpstr>1_Donnees_de_base_Batiments</vt:lpstr>
      <vt:lpstr>2_Coût_de_stockage</vt:lpstr>
      <vt:lpstr>3_Coût_de_préparation</vt:lpstr>
      <vt:lpstr>4_Coût_d'emballage</vt:lpstr>
      <vt:lpstr>5_Coût_de_transport</vt:lpstr>
      <vt:lpstr>6_Evaluation</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Bucher</dc:creator>
  <cp:lastModifiedBy>Fankhauser Philipp</cp:lastModifiedBy>
  <cp:lastPrinted>2018-06-04T13:05:09Z</cp:lastPrinted>
  <dcterms:created xsi:type="dcterms:W3CDTF">2017-10-27T09:16:55Z</dcterms:created>
  <dcterms:modified xsi:type="dcterms:W3CDTF">2018-06-04T13:05:18Z</dcterms:modified>
</cp:coreProperties>
</file>